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 tabRatio="739" activeTab="7"/>
  </bookViews>
  <sheets>
    <sheet name="ตารางที่1" sheetId="1" r:id="rId1"/>
    <sheet name="ตารางที่2" sheetId="2" r:id="rId2"/>
    <sheet name="ตารางที่3" sheetId="3" r:id="rId3"/>
    <sheet name="ตารางที่4" sheetId="5" r:id="rId4"/>
    <sheet name="ตารางที่5" sheetId="4" r:id="rId5"/>
    <sheet name="ตารางที่6" sheetId="6" r:id="rId6"/>
    <sheet name="ตารางที่7" sheetId="8" r:id="rId7"/>
    <sheet name="ตารางที่8" sheetId="10" r:id="rId8"/>
    <sheet name="ตารางที่9" sheetId="9" r:id="rId9"/>
    <sheet name="ตารางที่ 10" sheetId="11" r:id="rId10"/>
    <sheet name="ตารางที่ 11" sheetId="17" r:id="rId11"/>
    <sheet name="ตารางที่ 12" sheetId="16" r:id="rId12"/>
    <sheet name="สรุป1" sheetId="7" r:id="rId13"/>
    <sheet name="สรุป2" sheetId="13" r:id="rId14"/>
    <sheet name="สรุป3" sheetId="14" r:id="rId15"/>
  </sheets>
  <definedNames>
    <definedName name="_xlnm._FilterDatabase" localSheetId="6" hidden="1">ตารางที่7!$A$4:$AF$34</definedName>
    <definedName name="_xlnm._FilterDatabase" localSheetId="7" hidden="1">ตารางที่8!$A$4:$X$17</definedName>
    <definedName name="_xlnm.Print_Area" localSheetId="9">'ตารางที่ 10'!$A$1:$W$9</definedName>
    <definedName name="_xlnm.Print_Area" localSheetId="10">'ตารางที่ 11'!$A$1:$AF$28</definedName>
    <definedName name="_xlnm.Print_Area" localSheetId="11">'ตารางที่ 12'!$A$1:$N$9</definedName>
    <definedName name="_xlnm.Print_Area" localSheetId="0">ตารางที่1!$A$1:$G$33</definedName>
    <definedName name="_xlnm.Print_Area" localSheetId="1">ตารางที่2!$A$1:$O$25</definedName>
    <definedName name="_xlnm.Print_Area" localSheetId="2">ตารางที่3!$A$1:$K$28</definedName>
    <definedName name="_xlnm.Print_Area" localSheetId="3">ตารางที่4!$A$1:$K$11</definedName>
    <definedName name="_xlnm.Print_Area" localSheetId="4">ตารางที่5!$A$1:$I$9</definedName>
    <definedName name="_xlnm.Print_Area" localSheetId="5">ตารางที่6!$A$1:$I$7</definedName>
    <definedName name="_xlnm.Print_Area" localSheetId="6">ตารางที่7!$A$1:$Z$34</definedName>
    <definedName name="_xlnm.Print_Area" localSheetId="8">ตารางที่9!$A$1:$W$11</definedName>
    <definedName name="_xlnm.Print_Titles" localSheetId="2">ตารางที่3!$1:$2</definedName>
    <definedName name="_xlnm.Print_Titles" localSheetId="6">ตารางที่7!$1:$4</definedName>
    <definedName name="_xlnm.Print_Titles" localSheetId="7">ตารางที่8!$1:$4</definedName>
  </definedNames>
  <calcPr calcId="125725"/>
</workbook>
</file>

<file path=xl/calcChain.xml><?xml version="1.0" encoding="utf-8"?>
<calcChain xmlns="http://schemas.openxmlformats.org/spreadsheetml/2006/main">
  <c r="S28" i="17"/>
  <c r="T28"/>
  <c r="U28"/>
  <c r="V28"/>
  <c r="W28"/>
  <c r="Z28"/>
  <c r="X28"/>
  <c r="X18"/>
  <c r="M28"/>
  <c r="M27"/>
  <c r="E13" i="7" l="1"/>
  <c r="D13"/>
  <c r="T8" i="11"/>
  <c r="I7"/>
  <c r="W5"/>
  <c r="W6"/>
  <c r="V6"/>
  <c r="U6"/>
  <c r="T6"/>
  <c r="S7"/>
  <c r="V7" s="1"/>
  <c r="R7"/>
  <c r="U7" s="1"/>
  <c r="Q7"/>
  <c r="T7" s="1"/>
  <c r="W7" s="1"/>
  <c r="Q6"/>
  <c r="R6"/>
  <c r="S6"/>
  <c r="R8"/>
  <c r="Q8"/>
  <c r="N8"/>
  <c r="N7"/>
  <c r="N6"/>
  <c r="N9" s="1"/>
  <c r="N5"/>
  <c r="M9"/>
  <c r="L9"/>
  <c r="K9"/>
  <c r="J9"/>
  <c r="I3" i="6"/>
  <c r="I6"/>
  <c r="I5"/>
  <c r="I4"/>
  <c r="F9" i="11"/>
  <c r="E9"/>
  <c r="D9"/>
  <c r="C9"/>
  <c r="B9"/>
  <c r="W10" i="9"/>
  <c r="U10"/>
  <c r="T10"/>
  <c r="I7" i="10"/>
  <c r="F11" i="9"/>
  <c r="E11"/>
  <c r="D11"/>
  <c r="C11"/>
  <c r="B11"/>
  <c r="N11"/>
  <c r="M11"/>
  <c r="L11"/>
  <c r="K11"/>
  <c r="J11"/>
  <c r="N10"/>
  <c r="N9"/>
  <c r="N8"/>
  <c r="N7"/>
  <c r="N5"/>
  <c r="N6"/>
  <c r="I8"/>
  <c r="I7"/>
  <c r="R10"/>
  <c r="S10"/>
  <c r="V6"/>
  <c r="V7"/>
  <c r="S7" l="1"/>
  <c r="R9"/>
  <c r="U9" s="1"/>
  <c r="U7"/>
  <c r="Q8"/>
  <c r="Q5"/>
  <c r="V10"/>
  <c r="Q10"/>
  <c r="Q9"/>
  <c r="T9" s="1"/>
  <c r="S8"/>
  <c r="V8" s="1"/>
  <c r="R8"/>
  <c r="U8" s="1"/>
  <c r="T8"/>
  <c r="W8" s="1"/>
  <c r="R7"/>
  <c r="Q7"/>
  <c r="T7" s="1"/>
  <c r="W7" s="1"/>
  <c r="S6"/>
  <c r="R6"/>
  <c r="U6" s="1"/>
  <c r="Q6"/>
  <c r="T6" s="1"/>
  <c r="W6" s="1"/>
  <c r="V5"/>
  <c r="I10"/>
  <c r="I5"/>
  <c r="I6"/>
  <c r="M34" i="8"/>
  <c r="N34"/>
  <c r="O34"/>
  <c r="P34"/>
  <c r="Q34"/>
  <c r="H13" i="5"/>
  <c r="K3"/>
  <c r="K4"/>
  <c r="K5"/>
  <c r="K6"/>
  <c r="K7"/>
  <c r="K8"/>
  <c r="K9"/>
  <c r="K10"/>
  <c r="T6" i="10"/>
  <c r="T5"/>
  <c r="S5"/>
  <c r="R6"/>
  <c r="X9"/>
  <c r="X15"/>
  <c r="V15"/>
  <c r="U15"/>
  <c r="T15"/>
  <c r="W15" s="1"/>
  <c r="S15"/>
  <c r="X5"/>
  <c r="W5"/>
  <c r="V5"/>
  <c r="O17"/>
  <c r="N17"/>
  <c r="M17"/>
  <c r="L17"/>
  <c r="K17"/>
  <c r="O15"/>
  <c r="O16"/>
  <c r="R16" s="1"/>
  <c r="U16" s="1"/>
  <c r="X16" s="1"/>
  <c r="O12"/>
  <c r="S12" s="1"/>
  <c r="V12" s="1"/>
  <c r="O11"/>
  <c r="R11" s="1"/>
  <c r="U11" s="1"/>
  <c r="X11" s="1"/>
  <c r="O10"/>
  <c r="O9"/>
  <c r="S9" s="1"/>
  <c r="V9" s="1"/>
  <c r="O6"/>
  <c r="S6" s="1"/>
  <c r="V6" s="1"/>
  <c r="O5"/>
  <c r="I16"/>
  <c r="I15"/>
  <c r="I14"/>
  <c r="I13"/>
  <c r="G12"/>
  <c r="I6"/>
  <c r="G6"/>
  <c r="F17"/>
  <c r="E17"/>
  <c r="D17"/>
  <c r="C17"/>
  <c r="B17"/>
  <c r="R15"/>
  <c r="R12"/>
  <c r="U12" s="1"/>
  <c r="X12" s="1"/>
  <c r="R10"/>
  <c r="U10" s="1"/>
  <c r="X10" s="1"/>
  <c r="R9"/>
  <c r="U9" s="1"/>
  <c r="R5"/>
  <c r="T16"/>
  <c r="W16" s="1"/>
  <c r="T12"/>
  <c r="W12" s="1"/>
  <c r="T11"/>
  <c r="W11" s="1"/>
  <c r="S11"/>
  <c r="V11" s="1"/>
  <c r="T10"/>
  <c r="W10" s="1"/>
  <c r="S10"/>
  <c r="V10" s="1"/>
  <c r="T9"/>
  <c r="W9" s="1"/>
  <c r="W6"/>
  <c r="I12"/>
  <c r="I11"/>
  <c r="F12"/>
  <c r="E12"/>
  <c r="D12"/>
  <c r="C12"/>
  <c r="B12"/>
  <c r="I5"/>
  <c r="F6"/>
  <c r="E6"/>
  <c r="D6"/>
  <c r="C6"/>
  <c r="B6"/>
  <c r="W15" i="8"/>
  <c r="Z15" s="1"/>
  <c r="V15"/>
  <c r="Y15" s="1"/>
  <c r="U15"/>
  <c r="X15" s="1"/>
  <c r="Y14"/>
  <c r="W14"/>
  <c r="Z14" s="1"/>
  <c r="V14"/>
  <c r="U14"/>
  <c r="X14" s="1"/>
  <c r="W13"/>
  <c r="Z13" s="1"/>
  <c r="V13"/>
  <c r="Y13" s="1"/>
  <c r="U13"/>
  <c r="X13" s="1"/>
  <c r="Y12"/>
  <c r="W12"/>
  <c r="Z12" s="1"/>
  <c r="V12"/>
  <c r="U12"/>
  <c r="X12" s="1"/>
  <c r="Z9"/>
  <c r="W9"/>
  <c r="V9"/>
  <c r="Y9" s="1"/>
  <c r="U9"/>
  <c r="X9" s="1"/>
  <c r="Y8"/>
  <c r="X8"/>
  <c r="W8"/>
  <c r="Z8" s="1"/>
  <c r="V8"/>
  <c r="U8"/>
  <c r="Z7"/>
  <c r="W7"/>
  <c r="V7"/>
  <c r="Y7" s="1"/>
  <c r="U7"/>
  <c r="W6"/>
  <c r="Z6"/>
  <c r="X6"/>
  <c r="V6"/>
  <c r="U33"/>
  <c r="U32"/>
  <c r="U31"/>
  <c r="X31" s="1"/>
  <c r="U30"/>
  <c r="X30" s="1"/>
  <c r="U29"/>
  <c r="U28"/>
  <c r="U27"/>
  <c r="X27" s="1"/>
  <c r="U26"/>
  <c r="X26" s="1"/>
  <c r="U25"/>
  <c r="X25" s="1"/>
  <c r="U24"/>
  <c r="U23"/>
  <c r="X23" s="1"/>
  <c r="U22"/>
  <c r="U21"/>
  <c r="U19"/>
  <c r="X19" s="1"/>
  <c r="U18"/>
  <c r="U6"/>
  <c r="T33"/>
  <c r="W33" s="1"/>
  <c r="Z33" s="1"/>
  <c r="T32"/>
  <c r="T31"/>
  <c r="T30"/>
  <c r="W30" s="1"/>
  <c r="Z30" s="1"/>
  <c r="T29"/>
  <c r="W29" s="1"/>
  <c r="Z29" s="1"/>
  <c r="T28"/>
  <c r="W28" s="1"/>
  <c r="Z28" s="1"/>
  <c r="T27"/>
  <c r="T26"/>
  <c r="T25"/>
  <c r="T24"/>
  <c r="T23"/>
  <c r="T22"/>
  <c r="W22" s="1"/>
  <c r="Z22" s="1"/>
  <c r="T21"/>
  <c r="T19"/>
  <c r="T18"/>
  <c r="W18" s="1"/>
  <c r="Z18" s="1"/>
  <c r="T15"/>
  <c r="T14"/>
  <c r="T13"/>
  <c r="T12"/>
  <c r="T9"/>
  <c r="T8"/>
  <c r="T7"/>
  <c r="T6"/>
  <c r="V33"/>
  <c r="Y33" s="1"/>
  <c r="X33"/>
  <c r="Y32"/>
  <c r="V32"/>
  <c r="X32"/>
  <c r="W32"/>
  <c r="Z32" s="1"/>
  <c r="Y31"/>
  <c r="V31"/>
  <c r="W31"/>
  <c r="Z31" s="1"/>
  <c r="V30"/>
  <c r="Y30" s="1"/>
  <c r="V29"/>
  <c r="Y29" s="1"/>
  <c r="X29"/>
  <c r="V28"/>
  <c r="Y28" s="1"/>
  <c r="X28"/>
  <c r="Y27"/>
  <c r="V27"/>
  <c r="W27"/>
  <c r="Z27" s="1"/>
  <c r="W26"/>
  <c r="Z26" s="1"/>
  <c r="V26"/>
  <c r="Y26" s="1"/>
  <c r="W25"/>
  <c r="Z25" s="1"/>
  <c r="V25"/>
  <c r="Y25" s="1"/>
  <c r="Y24"/>
  <c r="V24"/>
  <c r="X24"/>
  <c r="W24"/>
  <c r="Z24" s="1"/>
  <c r="Y23"/>
  <c r="V23"/>
  <c r="W23"/>
  <c r="Z23" s="1"/>
  <c r="X22"/>
  <c r="V22"/>
  <c r="Y22" s="1"/>
  <c r="W21"/>
  <c r="Z21" s="1"/>
  <c r="V21"/>
  <c r="Y21" s="1"/>
  <c r="X21"/>
  <c r="Y19"/>
  <c r="V19"/>
  <c r="W19"/>
  <c r="Z19" s="1"/>
  <c r="X18"/>
  <c r="V18"/>
  <c r="Y18" s="1"/>
  <c r="Y6"/>
  <c r="Q33"/>
  <c r="Q32"/>
  <c r="Q31"/>
  <c r="Q30"/>
  <c r="Q29"/>
  <c r="Q28"/>
  <c r="Q27"/>
  <c r="Q26"/>
  <c r="Q25"/>
  <c r="Q24"/>
  <c r="Q9"/>
  <c r="H34"/>
  <c r="G34"/>
  <c r="Q23"/>
  <c r="Q22"/>
  <c r="Q21"/>
  <c r="Q19"/>
  <c r="Q18"/>
  <c r="Q15"/>
  <c r="Q14"/>
  <c r="Q12"/>
  <c r="Q6"/>
  <c r="Q13"/>
  <c r="Q8"/>
  <c r="Q7"/>
  <c r="H19"/>
  <c r="H17"/>
  <c r="H18"/>
  <c r="H15"/>
  <c r="H14"/>
  <c r="H13"/>
  <c r="H12"/>
  <c r="H11"/>
  <c r="H10"/>
  <c r="H9"/>
  <c r="H8"/>
  <c r="H7"/>
  <c r="H6"/>
  <c r="H16"/>
  <c r="F15"/>
  <c r="G15"/>
  <c r="D15"/>
  <c r="E15"/>
  <c r="E9"/>
  <c r="H33"/>
  <c r="H32"/>
  <c r="H31"/>
  <c r="H30"/>
  <c r="H29"/>
  <c r="H28"/>
  <c r="H27"/>
  <c r="H26"/>
  <c r="H25"/>
  <c r="H24"/>
  <c r="H23"/>
  <c r="H22"/>
  <c r="H21"/>
  <c r="H20"/>
  <c r="D34"/>
  <c r="F34"/>
  <c r="G3" i="6"/>
  <c r="H30" i="3"/>
  <c r="H28"/>
  <c r="H29"/>
  <c r="K8" i="8"/>
  <c r="S16" i="10" l="1"/>
  <c r="V16" s="1"/>
  <c r="U6"/>
  <c r="X6" s="1"/>
  <c r="U34" i="8"/>
  <c r="X7"/>
  <c r="K15"/>
  <c r="K9"/>
  <c r="F7" i="6" l="1"/>
  <c r="E7"/>
  <c r="D7"/>
  <c r="C7"/>
  <c r="B7"/>
  <c r="F6"/>
  <c r="F5"/>
  <c r="F4"/>
  <c r="F3"/>
  <c r="C9" i="4"/>
  <c r="D9"/>
  <c r="E9"/>
  <c r="B9"/>
  <c r="F8"/>
  <c r="F7"/>
  <c r="I7" s="1"/>
  <c r="F6"/>
  <c r="F5"/>
  <c r="F4"/>
  <c r="I8"/>
  <c r="I4"/>
  <c r="F3"/>
  <c r="I3" s="1"/>
  <c r="I6"/>
  <c r="H11" i="5"/>
  <c r="H4"/>
  <c r="H10"/>
  <c r="H9"/>
  <c r="H8"/>
  <c r="H7"/>
  <c r="H6"/>
  <c r="H5"/>
  <c r="H3"/>
  <c r="G11"/>
  <c r="F11"/>
  <c r="E11"/>
  <c r="D11"/>
  <c r="K21" i="3"/>
  <c r="K27"/>
  <c r="H13"/>
  <c r="H6"/>
  <c r="H7"/>
  <c r="H8"/>
  <c r="H9"/>
  <c r="H10"/>
  <c r="H11"/>
  <c r="H27"/>
  <c r="H26"/>
  <c r="H25"/>
  <c r="H24"/>
  <c r="H23"/>
  <c r="H22"/>
  <c r="H21"/>
  <c r="H20"/>
  <c r="H19"/>
  <c r="H18"/>
  <c r="H17"/>
  <c r="H16"/>
  <c r="H15"/>
  <c r="H14"/>
  <c r="H12"/>
  <c r="H5"/>
  <c r="H4"/>
  <c r="E14" i="1"/>
  <c r="D14"/>
  <c r="C14"/>
  <c r="F13"/>
  <c r="F12"/>
  <c r="F11"/>
  <c r="F10"/>
  <c r="F9"/>
  <c r="F8"/>
  <c r="F7"/>
  <c r="F6"/>
  <c r="E11" i="7"/>
  <c r="E6"/>
  <c r="E5"/>
  <c r="B13"/>
  <c r="C13"/>
  <c r="E9"/>
  <c r="E10"/>
  <c r="E7"/>
  <c r="D12"/>
  <c r="D11"/>
  <c r="D10"/>
  <c r="D9"/>
  <c r="D8"/>
  <c r="E8" s="1"/>
  <c r="D7"/>
  <c r="D6"/>
  <c r="D5"/>
  <c r="L6" i="16"/>
  <c r="M6"/>
  <c r="L5"/>
  <c r="N7"/>
  <c r="N6"/>
  <c r="N5"/>
  <c r="M9"/>
  <c r="K6"/>
  <c r="I6"/>
  <c r="J6"/>
  <c r="L9"/>
  <c r="F9" i="4" l="1"/>
  <c r="F14" i="1"/>
  <c r="Z12" i="17"/>
  <c r="AF12"/>
  <c r="AE20"/>
  <c r="AE12"/>
  <c r="AD12"/>
  <c r="AC20"/>
  <c r="AF20" s="1"/>
  <c r="AC12"/>
  <c r="Z20"/>
  <c r="S20"/>
  <c r="S12"/>
  <c r="Y20"/>
  <c r="Y12"/>
  <c r="J5" i="16" l="1"/>
  <c r="I5"/>
  <c r="M23" i="17"/>
  <c r="AC11"/>
  <c r="AF16"/>
  <c r="AF15"/>
  <c r="AD14" l="1"/>
  <c r="AC14"/>
  <c r="AB14"/>
  <c r="AA14"/>
  <c r="R18" l="1"/>
  <c r="R27"/>
  <c r="R28" s="1"/>
  <c r="Q18"/>
  <c r="W27"/>
  <c r="V27"/>
  <c r="U27"/>
  <c r="T27"/>
  <c r="Q27"/>
  <c r="P27"/>
  <c r="O27"/>
  <c r="J27"/>
  <c r="I27"/>
  <c r="H27"/>
  <c r="G27"/>
  <c r="E27"/>
  <c r="D27"/>
  <c r="C27"/>
  <c r="B27"/>
  <c r="Y26"/>
  <c r="S26"/>
  <c r="L26"/>
  <c r="M26" s="1"/>
  <c r="F26"/>
  <c r="Y25"/>
  <c r="S25"/>
  <c r="L25"/>
  <c r="M25" s="1"/>
  <c r="F25"/>
  <c r="Y24"/>
  <c r="AB24" s="1"/>
  <c r="AE24" s="1"/>
  <c r="S24"/>
  <c r="L24"/>
  <c r="F24"/>
  <c r="Y23"/>
  <c r="S23"/>
  <c r="Z23" s="1"/>
  <c r="L23"/>
  <c r="F23"/>
  <c r="Y22"/>
  <c r="S22"/>
  <c r="L22"/>
  <c r="F22"/>
  <c r="Y21"/>
  <c r="S21"/>
  <c r="L21"/>
  <c r="F21"/>
  <c r="L20"/>
  <c r="F20"/>
  <c r="F27" s="1"/>
  <c r="AC19"/>
  <c r="AB19"/>
  <c r="AA19"/>
  <c r="W18"/>
  <c r="V18"/>
  <c r="U18"/>
  <c r="T18"/>
  <c r="P18"/>
  <c r="O18"/>
  <c r="J18"/>
  <c r="I18"/>
  <c r="H18"/>
  <c r="G18"/>
  <c r="E18"/>
  <c r="D18"/>
  <c r="C18"/>
  <c r="B18"/>
  <c r="Y17"/>
  <c r="S17"/>
  <c r="L17"/>
  <c r="F17"/>
  <c r="Y16"/>
  <c r="S16"/>
  <c r="L16"/>
  <c r="F16"/>
  <c r="Y15"/>
  <c r="S15"/>
  <c r="L15"/>
  <c r="F15"/>
  <c r="Y14"/>
  <c r="S14"/>
  <c r="L14"/>
  <c r="F14"/>
  <c r="Y13"/>
  <c r="S13"/>
  <c r="L13"/>
  <c r="M13" s="1"/>
  <c r="F13"/>
  <c r="L12"/>
  <c r="M12" s="1"/>
  <c r="F12"/>
  <c r="Y11"/>
  <c r="S11"/>
  <c r="L11"/>
  <c r="M11" s="1"/>
  <c r="F11"/>
  <c r="Y10"/>
  <c r="S10"/>
  <c r="L10"/>
  <c r="M10" s="1"/>
  <c r="F10"/>
  <c r="Y9"/>
  <c r="S9"/>
  <c r="L9"/>
  <c r="M9" s="1"/>
  <c r="F9"/>
  <c r="Y8"/>
  <c r="S8"/>
  <c r="L8"/>
  <c r="M8" s="1"/>
  <c r="F8"/>
  <c r="Y7"/>
  <c r="L7"/>
  <c r="F7"/>
  <c r="N16" i="2"/>
  <c r="O37"/>
  <c r="E37"/>
  <c r="I38"/>
  <c r="F37"/>
  <c r="N38"/>
  <c r="N39"/>
  <c r="M37"/>
  <c r="N37" s="1"/>
  <c r="L37"/>
  <c r="K37"/>
  <c r="J37"/>
  <c r="I39"/>
  <c r="G37"/>
  <c r="D37"/>
  <c r="C37"/>
  <c r="I37" s="1"/>
  <c r="B37"/>
  <c r="O31"/>
  <c r="J31"/>
  <c r="I31"/>
  <c r="N31"/>
  <c r="M31"/>
  <c r="L31"/>
  <c r="K31"/>
  <c r="C31"/>
  <c r="F31"/>
  <c r="E31"/>
  <c r="D31"/>
  <c r="B31"/>
  <c r="N32"/>
  <c r="N33"/>
  <c r="I33"/>
  <c r="I32"/>
  <c r="AE25" i="17" l="1"/>
  <c r="AB25"/>
  <c r="Z25"/>
  <c r="AC25" s="1"/>
  <c r="AF25" s="1"/>
  <c r="Y18"/>
  <c r="Z24"/>
  <c r="AC24" s="1"/>
  <c r="AF24" s="1"/>
  <c r="AC23"/>
  <c r="AF23" s="1"/>
  <c r="AA25"/>
  <c r="AD25" s="1"/>
  <c r="M21"/>
  <c r="M22"/>
  <c r="AA26"/>
  <c r="AD26" s="1"/>
  <c r="AB21"/>
  <c r="AE21" s="1"/>
  <c r="AA21"/>
  <c r="AD21" s="1"/>
  <c r="AA22"/>
  <c r="AD22" s="1"/>
  <c r="M14"/>
  <c r="M15"/>
  <c r="M16"/>
  <c r="M17"/>
  <c r="Y27"/>
  <c r="B28"/>
  <c r="G28"/>
  <c r="O28"/>
  <c r="AB8"/>
  <c r="AE8" s="1"/>
  <c r="AB9"/>
  <c r="AE9" s="1"/>
  <c r="AB10"/>
  <c r="AE10" s="1"/>
  <c r="AB11"/>
  <c r="AE11" s="1"/>
  <c r="AB12"/>
  <c r="AB13"/>
  <c r="AE13" s="1"/>
  <c r="AE14"/>
  <c r="AB15"/>
  <c r="AE15" s="1"/>
  <c r="AB16"/>
  <c r="AE16" s="1"/>
  <c r="AB17"/>
  <c r="AE17" s="1"/>
  <c r="AA20"/>
  <c r="AD20" s="1"/>
  <c r="Z22"/>
  <c r="AB23"/>
  <c r="AE23" s="1"/>
  <c r="AA24"/>
  <c r="AD24" s="1"/>
  <c r="Z26"/>
  <c r="AC26" s="1"/>
  <c r="AF26" s="1"/>
  <c r="E28"/>
  <c r="J28"/>
  <c r="L18"/>
  <c r="Z13"/>
  <c r="AC13" s="1"/>
  <c r="AF13" s="1"/>
  <c r="Z14"/>
  <c r="Z15"/>
  <c r="AC15" s="1"/>
  <c r="Z16"/>
  <c r="Z17"/>
  <c r="AC17" s="1"/>
  <c r="AF17" s="1"/>
  <c r="M20"/>
  <c r="Z21"/>
  <c r="AC21" s="1"/>
  <c r="AF21" s="1"/>
  <c r="AB22"/>
  <c r="AE22" s="1"/>
  <c r="AA23"/>
  <c r="AD23" s="1"/>
  <c r="M24"/>
  <c r="AB26"/>
  <c r="AE26" s="1"/>
  <c r="I28"/>
  <c r="C28"/>
  <c r="H28"/>
  <c r="P28"/>
  <c r="Z8"/>
  <c r="AC8" s="1"/>
  <c r="AF8" s="1"/>
  <c r="Z9"/>
  <c r="AC9" s="1"/>
  <c r="AF9" s="1"/>
  <c r="Z10"/>
  <c r="AC10" s="1"/>
  <c r="AF10" s="1"/>
  <c r="Z11"/>
  <c r="AF11" s="1"/>
  <c r="S7"/>
  <c r="Z7" s="1"/>
  <c r="Q28"/>
  <c r="D28"/>
  <c r="F18"/>
  <c r="F28" s="1"/>
  <c r="L27"/>
  <c r="AB7"/>
  <c r="AE7" s="1"/>
  <c r="M7"/>
  <c r="AA8"/>
  <c r="AD8" s="1"/>
  <c r="AA9"/>
  <c r="AD9" s="1"/>
  <c r="AA10"/>
  <c r="AD10" s="1"/>
  <c r="AA11"/>
  <c r="AD11" s="1"/>
  <c r="AA12"/>
  <c r="AA13"/>
  <c r="AD13" s="1"/>
  <c r="AA15"/>
  <c r="AD15" s="1"/>
  <c r="AA16"/>
  <c r="AD16" s="1"/>
  <c r="AA17"/>
  <c r="AD17" s="1"/>
  <c r="AB20"/>
  <c r="S27"/>
  <c r="O33" i="2"/>
  <c r="O32"/>
  <c r="Y28" i="17" l="1"/>
  <c r="AB18"/>
  <c r="AE18" s="1"/>
  <c r="AC22"/>
  <c r="AF22" s="1"/>
  <c r="M18"/>
  <c r="Z27"/>
  <c r="Z31" s="1"/>
  <c r="AF14"/>
  <c r="L28"/>
  <c r="AC16"/>
  <c r="S18"/>
  <c r="Z18" s="1"/>
  <c r="AA7"/>
  <c r="AD7" s="1"/>
  <c r="AA27"/>
  <c r="AD27" s="1"/>
  <c r="AC7"/>
  <c r="AF7" s="1"/>
  <c r="AB27"/>
  <c r="AE27" s="1"/>
  <c r="I6" i="2"/>
  <c r="O6" s="1"/>
  <c r="I19"/>
  <c r="N7"/>
  <c r="I7"/>
  <c r="N24"/>
  <c r="N23"/>
  <c r="N22"/>
  <c r="N21"/>
  <c r="N19"/>
  <c r="N18"/>
  <c r="N17"/>
  <c r="O17" s="1"/>
  <c r="N15"/>
  <c r="N14"/>
  <c r="N13"/>
  <c r="N12"/>
  <c r="N11"/>
  <c r="N10"/>
  <c r="N9"/>
  <c r="N8"/>
  <c r="N6"/>
  <c r="B25"/>
  <c r="F25"/>
  <c r="E25"/>
  <c r="D25"/>
  <c r="C25"/>
  <c r="AB28" i="17" l="1"/>
  <c r="AE28" s="1"/>
  <c r="AA28"/>
  <c r="AD28" s="1"/>
  <c r="AC27"/>
  <c r="AF27" s="1"/>
  <c r="AC18"/>
  <c r="AF18" s="1"/>
  <c r="AA18"/>
  <c r="AD18" s="1"/>
  <c r="N25" i="2"/>
  <c r="K32" i="8"/>
  <c r="F11" i="4"/>
  <c r="AC28" i="17" l="1"/>
  <c r="AF28" s="1"/>
  <c r="G32" i="1"/>
  <c r="G33" s="1"/>
  <c r="K11" i="3" l="1"/>
  <c r="K12"/>
  <c r="B37" i="16" l="1"/>
  <c r="B32"/>
  <c r="B39" s="1"/>
  <c r="B41" s="1"/>
  <c r="G9" l="1"/>
  <c r="F9"/>
  <c r="D9"/>
  <c r="C9"/>
  <c r="J8"/>
  <c r="M8" s="1"/>
  <c r="I8"/>
  <c r="H8"/>
  <c r="H9" s="1"/>
  <c r="E8"/>
  <c r="J7"/>
  <c r="I7"/>
  <c r="L7" s="1"/>
  <c r="H7"/>
  <c r="E7"/>
  <c r="H6"/>
  <c r="E6"/>
  <c r="H5"/>
  <c r="K5" s="1"/>
  <c r="E5"/>
  <c r="E9" s="1"/>
  <c r="K8" l="1"/>
  <c r="N8" s="1"/>
  <c r="K7"/>
  <c r="J9"/>
  <c r="I9"/>
  <c r="K9"/>
  <c r="N9" s="1"/>
  <c r="D9" i="14" l="1"/>
  <c r="E9" s="1"/>
  <c r="D4"/>
  <c r="E4" s="1"/>
  <c r="D7"/>
  <c r="E7" s="1"/>
  <c r="D6"/>
  <c r="E6" s="1"/>
  <c r="D5"/>
  <c r="E5" s="1"/>
  <c r="D8"/>
  <c r="E8" s="1"/>
  <c r="D5" i="13"/>
  <c r="E5" s="1"/>
  <c r="D10"/>
  <c r="E10" s="1"/>
  <c r="D13"/>
  <c r="E13" s="1"/>
  <c r="D12"/>
  <c r="E12" s="1"/>
  <c r="D9"/>
  <c r="E9" s="1"/>
  <c r="D11"/>
  <c r="E11" s="1"/>
  <c r="D7"/>
  <c r="E7" s="1"/>
  <c r="D8"/>
  <c r="E8" s="1"/>
  <c r="D14"/>
  <c r="E14" s="1"/>
  <c r="D6"/>
  <c r="E6" s="1"/>
  <c r="I6" i="11" l="1"/>
  <c r="S5"/>
  <c r="V5" s="1"/>
  <c r="Q5"/>
  <c r="I9" i="10"/>
  <c r="I10"/>
  <c r="S5" i="9"/>
  <c r="I5" i="11" l="1"/>
  <c r="T5" s="1"/>
  <c r="R5"/>
  <c r="U5" s="1"/>
  <c r="I8" i="10"/>
  <c r="U5"/>
  <c r="R5" i="9"/>
  <c r="U5" s="1"/>
  <c r="N12"/>
  <c r="T5"/>
  <c r="W5" s="1"/>
  <c r="K7" i="8" l="1"/>
  <c r="K23"/>
  <c r="K14"/>
  <c r="K13"/>
  <c r="K28"/>
  <c r="K26"/>
  <c r="E34"/>
  <c r="K24"/>
  <c r="K25"/>
  <c r="K21"/>
  <c r="K31"/>
  <c r="K33"/>
  <c r="K17"/>
  <c r="K16"/>
  <c r="K11"/>
  <c r="K10"/>
  <c r="K19"/>
  <c r="K6"/>
  <c r="K12"/>
  <c r="I5" i="4"/>
  <c r="D28" i="3"/>
  <c r="E28"/>
  <c r="F28"/>
  <c r="G28"/>
  <c r="K6"/>
  <c r="K7"/>
  <c r="K8"/>
  <c r="K9"/>
  <c r="K10"/>
  <c r="K13"/>
  <c r="K15"/>
  <c r="K16"/>
  <c r="K17"/>
  <c r="K18"/>
  <c r="K19"/>
  <c r="K20"/>
  <c r="K22"/>
  <c r="K23"/>
  <c r="K24"/>
  <c r="K25"/>
  <c r="K26"/>
  <c r="K5"/>
  <c r="K4"/>
  <c r="O19" i="2"/>
  <c r="K25"/>
  <c r="L25"/>
  <c r="M25"/>
  <c r="J25"/>
  <c r="O7"/>
  <c r="I8"/>
  <c r="O8" s="1"/>
  <c r="I9"/>
  <c r="O9" s="1"/>
  <c r="I10"/>
  <c r="O10" s="1"/>
  <c r="I11"/>
  <c r="O11" s="1"/>
  <c r="I16"/>
  <c r="O16" s="1"/>
  <c r="I13"/>
  <c r="O13" s="1"/>
  <c r="I14"/>
  <c r="O14" s="1"/>
  <c r="I15"/>
  <c r="O15" s="1"/>
  <c r="I12"/>
  <c r="O12" s="1"/>
  <c r="I21"/>
  <c r="I22"/>
  <c r="O22" s="1"/>
  <c r="I23"/>
  <c r="O23" s="1"/>
  <c r="I24"/>
  <c r="O24" s="1"/>
  <c r="I18"/>
  <c r="O18" s="1"/>
  <c r="I20"/>
  <c r="O20" s="1"/>
  <c r="H25"/>
  <c r="O21" l="1"/>
  <c r="I25"/>
  <c r="O25" s="1"/>
  <c r="O18" i="10"/>
  <c r="N11" i="11"/>
  <c r="K18" i="8"/>
  <c r="K29"/>
  <c r="F9" i="6"/>
  <c r="K30" i="8"/>
  <c r="K27"/>
  <c r="K22"/>
  <c r="O27" i="2" l="1"/>
  <c r="V34" i="8"/>
  <c r="O26" i="2" l="1"/>
  <c r="W34" i="8"/>
</calcChain>
</file>

<file path=xl/sharedStrings.xml><?xml version="1.0" encoding="utf-8"?>
<sst xmlns="http://schemas.openxmlformats.org/spreadsheetml/2006/main" count="895" uniqueCount="302">
  <si>
    <t>เงินนอก</t>
  </si>
  <si>
    <t>งบกลาง</t>
  </si>
  <si>
    <t>รวม</t>
  </si>
  <si>
    <t>5101</t>
  </si>
  <si>
    <t>5102</t>
  </si>
  <si>
    <t>5103</t>
  </si>
  <si>
    <t>5104</t>
  </si>
  <si>
    <t>5105</t>
  </si>
  <si>
    <t>5107</t>
  </si>
  <si>
    <t>สำนักงานป้องกันและปราบปรามการฟอกเงิน</t>
  </si>
  <si>
    <t>(หน่วย:บาท)</t>
  </si>
  <si>
    <t>1. ค่าใช้จ่ายบุคลากร</t>
  </si>
  <si>
    <t>2. ค่าใช้จ่ายด้านการฝึกอบรม</t>
  </si>
  <si>
    <t>3. ค่าใช้จ่ายเดินทาง</t>
  </si>
  <si>
    <t>4. ค่าตอบแทน ใช้สอยวัสดุ และค่าสาธารณูปโภค</t>
  </si>
  <si>
    <t>5. ค่าเสื่อมราคาและตัดจำหน่าย</t>
  </si>
  <si>
    <t>6. ค่าใช้จ่ายในการดำเนินงานรักษาความมั่นคงของประเทศ</t>
  </si>
  <si>
    <t>7. ค่าใช้จ่ายเงินอุดหนุน</t>
  </si>
  <si>
    <t>ประเภทค่าใช้จ่าย</t>
  </si>
  <si>
    <t>รวมต้นทุนผลผลิต</t>
  </si>
  <si>
    <t>หมายเหตุ : (อธิบายความแตกต่างระหว่างค่าใช้จ่ายในระบบ GFMIS และต้นทุนที่นำมาคำนวณต้นทุนผลผลิต)</t>
  </si>
  <si>
    <t>ค่าใช้จ่ายในระบบ GFMIS</t>
  </si>
  <si>
    <r>
      <rPr>
        <u/>
        <sz val="14"/>
        <color theme="1"/>
        <rFont val="TH SarabunPSK"/>
        <family val="2"/>
      </rPr>
      <t>หัก</t>
    </r>
    <r>
      <rPr>
        <sz val="14"/>
        <color theme="1"/>
        <rFont val="TH SarabunPSK"/>
        <family val="2"/>
      </rPr>
      <t xml:space="preserve"> </t>
    </r>
  </si>
  <si>
    <t>ต้นทุนที่ไม่เกี่ยวข้องในการผลิตผลผลิต</t>
  </si>
  <si>
    <t>บำนาญปกติ</t>
  </si>
  <si>
    <t>เงินช่วยเหลือรายเดือนผู้รับเบี้ยหวัดบำนาญ</t>
  </si>
  <si>
    <t>เงินช่วยค่าครองชีพผู้รับเบี้ยหวัดบำนาญ</t>
  </si>
  <si>
    <t>เงินบำเหน็จ</t>
  </si>
  <si>
    <t>เงินบำเหน็จตกทอด</t>
  </si>
  <si>
    <t>เงินบำเหน็จดำรงชีพ</t>
  </si>
  <si>
    <t>เงินช่วยการศึกษาบุตร</t>
  </si>
  <si>
    <t>ค่ารักษาพยาบาลผู้ป่วยนอก-รพ.รัฐ-เบี้ยหวัด/บำนาญ</t>
  </si>
  <si>
    <t>ค่ารักษาพยาบาลผู้ป่วยใน-รพ.รัฐ-เบี้ยหวัด/บำนาญ</t>
  </si>
  <si>
    <t>TE-หน่วยงานส่งเงินเบิกเกินส่งคืนให้กรมบัญชีกลาง</t>
  </si>
  <si>
    <t>TE-หน่วยงานโอนเงินนอกงบประมาณให้กรมบัญชีกลาง</t>
  </si>
  <si>
    <t>TE-หน่วยงานโอนเงินรายได้แผ่นดินให้กรมบัญชีกลาง</t>
  </si>
  <si>
    <t>TE-ปรับเงินฝากคลัง</t>
  </si>
  <si>
    <t>ค่าใช้จ่ายทางตรง</t>
  </si>
  <si>
    <t xml:space="preserve">ค่าใช้จ่ายบุคลากร </t>
  </si>
  <si>
    <t xml:space="preserve">ค่าใช้จ่ายด้านการฝึกอบรม </t>
  </si>
  <si>
    <t xml:space="preserve">ค่าใช้จ่ายเดินทาง </t>
  </si>
  <si>
    <t xml:space="preserve">ค่าตอบแทน ใช้สอยวัสดุ และค่าสาธารณูปโภค </t>
  </si>
  <si>
    <t>ค่าใช้จ่ายในการดำเนินงานรักษาความมั่นคงของประเทศ</t>
  </si>
  <si>
    <t xml:space="preserve">ค่าใช้จ่ายเงินอุดหนุน </t>
  </si>
  <si>
    <t>ศูนย์ต้นทุน</t>
  </si>
  <si>
    <t>ศูนย์ต้นทุนหลัก</t>
  </si>
  <si>
    <t>กองบริหารจัดการทรัพย์สิน</t>
  </si>
  <si>
    <t>กองคดี 1</t>
  </si>
  <si>
    <t>กองคดี 2</t>
  </si>
  <si>
    <t>กองคดี 3</t>
  </si>
  <si>
    <t>กองคดี 4</t>
  </si>
  <si>
    <t>กองนโยบายและยุทธศาสตร์</t>
  </si>
  <si>
    <t>ศูนย์เทคโนโลยีสารสนเทศ</t>
  </si>
  <si>
    <t>กองกฎหมาย</t>
  </si>
  <si>
    <t>กองข่าวกรองทางการเงิน</t>
  </si>
  <si>
    <t>กองกำกับและตรวจสอบ</t>
  </si>
  <si>
    <t>กองสื่อสารองค์กร</t>
  </si>
  <si>
    <t>ค่าใช้จ่ายทางอ้อม</t>
  </si>
  <si>
    <t>ศูนย์ต้นทุนสนับสนุน</t>
  </si>
  <si>
    <t>กลุ่มตรวจสอบภายใน</t>
  </si>
  <si>
    <t>กลุ่มพัฒนาระบบบริหาร</t>
  </si>
  <si>
    <t>สำนักงานเลขาธิการ</t>
  </si>
  <si>
    <t>สำนักงานเลขานุการกรม</t>
  </si>
  <si>
    <t>กองความร่วมมือระหว่างประเทศ</t>
  </si>
  <si>
    <t>ตารางที่ 3 รายงานต้นทุนกิจกรรมย่อยแยกตามแหล่งเงิน</t>
  </si>
  <si>
    <t xml:space="preserve">นโยบาย/แผน/มาตรการในการป้องกันและปราบปรามการฟอกเงิน 
</t>
  </si>
  <si>
    <t>งานด้านแผนงาน</t>
  </si>
  <si>
    <t xml:space="preserve">งานด้านพัฒนาทรัพยากรบุคคล
</t>
  </si>
  <si>
    <t>งานด้านประชาสัมพันธ์และเผยแพร่ความรู้เกี่ยวกับการป้องกันและปราบปรามการฟอกเงิน</t>
  </si>
  <si>
    <t>งานด้านกฎหมายที่เกี่ยวข้องกับการป้องกันและปราบปรามการฟอกเงิน</t>
  </si>
  <si>
    <t>งานด้านการส่งข้าราชการไปประชุม/อบรม/ดูงาน ระหว่างประเทศ</t>
  </si>
  <si>
    <t>พัฒนาระบบสารสนเทศที่ใช้ในการป้องกันและปราบปรามการฟอกเงิน</t>
  </si>
  <si>
    <t>งานด้านเครือข่ายอินเตอร์เน็ตและเว็บไซต์</t>
  </si>
  <si>
    <t xml:space="preserve">งานด้านตรวจสอบภายใน 
</t>
  </si>
  <si>
    <t>งานด้านพัฒนาระบบบริหารราชการ</t>
  </si>
  <si>
    <t>งานด้านบริหารงานทั่วไป</t>
  </si>
  <si>
    <t>งานด้านการเงินและบัญชี</t>
  </si>
  <si>
    <t>งานด้านการพัสดุ (จัดซื้อจัดจ้าง)</t>
  </si>
  <si>
    <t>งานด้านบริหารบุคลากร</t>
  </si>
  <si>
    <t>งานด้านยานพาหนะ</t>
  </si>
  <si>
    <t>งานด้านสารบรรณ</t>
  </si>
  <si>
    <t>กิจกรรมย่อยของหน่วยงานหลัก</t>
  </si>
  <si>
    <t>กองคดี 1-4</t>
  </si>
  <si>
    <t>กิจกรรมย่อยของหน่วยงานสนับสนุน</t>
  </si>
  <si>
    <t>ค่าเสื่อมราคา</t>
  </si>
  <si>
    <t>กิจกรรมย่อย</t>
  </si>
  <si>
    <t>หน่วยงาน</t>
  </si>
  <si>
    <t>ต้นทุนรวม</t>
  </si>
  <si>
    <t>ปริมาณ</t>
  </si>
  <si>
    <t>หน่วยนับ</t>
  </si>
  <si>
    <t>ต้นทุนต่อหน่วย</t>
  </si>
  <si>
    <t>ครั้ง</t>
  </si>
  <si>
    <t>รายการ</t>
  </si>
  <si>
    <t>เรื่อง</t>
  </si>
  <si>
    <t>จำนวนเรื่องของนโยบาย</t>
  </si>
  <si>
    <t>ด้าน</t>
  </si>
  <si>
    <t>จำนวนชั่วโมง/คนการฝึกอบรม</t>
  </si>
  <si>
    <t>ระบบ</t>
  </si>
  <si>
    <t>จำนวนเครื่องคอมพิวเตอร์</t>
  </si>
  <si>
    <t>จำนวนงานตรวจสอบ/คนวัน</t>
  </si>
  <si>
    <t>จำนวนหนังสือเข้าออก</t>
  </si>
  <si>
    <t>จำนวนบุคลากร</t>
  </si>
  <si>
    <t>จำนวนครั้งของการจัดซื้อจัดจ้าง</t>
  </si>
  <si>
    <t>กิโลเมตร</t>
  </si>
  <si>
    <t>จำนวนเอกสารรายการ</t>
  </si>
  <si>
    <t>กิจกรรมหลัก</t>
  </si>
  <si>
    <t>1. การปราบปรามการฟอกเงิน</t>
  </si>
  <si>
    <t>2. การป้องกันการฟอกเงิน</t>
  </si>
  <si>
    <t>ตารางที่ 6 รายงานต้นทุนผลผลิตหลักแยกตามแหล่งเงิน</t>
  </si>
  <si>
    <t>1. การป้องกันและการปราบปรามการฟอกเงิน</t>
  </si>
  <si>
    <t>3. โครงการสืบสวน ปราบปรามเพื่อดำเนินการกับทรัพย์สินหรือผู้กระทำความผิดต่อตำแหน่งหน้าที่หรือทุจริตต่อหน้าที่</t>
  </si>
  <si>
    <t>(หน่วย  :  บาท)</t>
  </si>
  <si>
    <t>ผลการเปรียบเทียบ</t>
  </si>
  <si>
    <t>เงินในงบประมาณ</t>
  </si>
  <si>
    <t xml:space="preserve">ต้นทุนรวม (เพิ่ม/ลด) </t>
  </si>
  <si>
    <t xml:space="preserve">หน่วยนับ (เพิ่ม/ลด) </t>
  </si>
  <si>
    <t>ต้นทุนต่อหน่วย (เพิ่ม/ลด)</t>
  </si>
  <si>
    <t>สอ.</t>
  </si>
  <si>
    <t>จำนวนครั้ง</t>
  </si>
  <si>
    <t>นย.</t>
  </si>
  <si>
    <t xml:space="preserve">3. การสำรวจทรัพย์สิน </t>
  </si>
  <si>
    <t>บส.</t>
  </si>
  <si>
    <t>ศท.</t>
  </si>
  <si>
    <t>กม.</t>
  </si>
  <si>
    <t>จำนวนเรื่อง</t>
  </si>
  <si>
    <t>ขก.</t>
  </si>
  <si>
    <t>กส.</t>
  </si>
  <si>
    <t>ตน.</t>
  </si>
  <si>
    <t>พบ.</t>
  </si>
  <si>
    <t>สล.</t>
  </si>
  <si>
    <t>จำนวนหนังสือเข้า-ออก</t>
  </si>
  <si>
    <t>สลก.</t>
  </si>
  <si>
    <t>จำนวนหนังสือ
เข้า-ออก</t>
  </si>
  <si>
    <t>คท.</t>
  </si>
  <si>
    <t xml:space="preserve">1. การขายทอดตลาดทรัพย์สิน </t>
  </si>
  <si>
    <t>2. การเก็บรักษาทรัพย์สิน</t>
  </si>
  <si>
    <t>คด.1-4</t>
  </si>
  <si>
    <r>
      <rPr>
        <b/>
        <sz val="14"/>
        <rFont val="TH SarabunPSK"/>
        <family val="2"/>
      </rPr>
      <t xml:space="preserve">ตารางที่ 7 </t>
    </r>
    <r>
      <rPr>
        <sz val="14"/>
        <rFont val="TH SarabunPSK"/>
        <family val="2"/>
      </rPr>
      <t xml:space="preserve"> เปรียบเทียบผลการคำนวณต้นทุนกิจกรรมย่อยแยกตามแหล่งเงิน</t>
    </r>
  </si>
  <si>
    <t>(หน่วย : บาท)</t>
  </si>
  <si>
    <t>เงินนอก งปม.</t>
  </si>
  <si>
    <t>ต้นทุนรวม (เพิ่ม/ลด) %</t>
  </si>
  <si>
    <t>หน่วยนับ (เพิ่ม/ลด) %</t>
  </si>
  <si>
    <t>ต้นทุนต่อหน่วย (เพิ่ม/ลด) %</t>
  </si>
  <si>
    <t>ฉบับ</t>
  </si>
  <si>
    <t xml:space="preserve">ต้นทุนผลผลิตประจำปีงบประมาณ พ.ศ. 2558 (ต.ค. 57-ก.ย. 58) </t>
  </si>
  <si>
    <t>ผลผลิตย่อย</t>
  </si>
  <si>
    <t>เงินนอกงบประมาณ</t>
  </si>
  <si>
    <t>ต้นทุนรวม เพิ่ม(ลด) %</t>
  </si>
  <si>
    <t>หน่วยนับ เพิ่ม(ลด) %</t>
  </si>
  <si>
    <t>ต้นทุนต่อหน่วย เพิ่ม(ลด) %</t>
  </si>
  <si>
    <t>รวมต้นทุนทั้งสิ้น</t>
  </si>
  <si>
    <t xml:space="preserve">1. บริหารจัดการทรัพย์สินที่ยึดหรืออายัดไว้ </t>
  </si>
  <si>
    <r>
      <t>ตารางที่ 10</t>
    </r>
    <r>
      <rPr>
        <b/>
        <sz val="14"/>
        <color indexed="8"/>
        <rFont val="TH SarabunPSK"/>
        <family val="2"/>
      </rPr>
      <t xml:space="preserve">  </t>
    </r>
    <r>
      <rPr>
        <sz val="14"/>
        <color indexed="8"/>
        <rFont val="TH SarabunPSK"/>
        <family val="2"/>
      </rPr>
      <t xml:space="preserve"> เปรียบเทียบผลการคำนวณต้นทุนผลผลิตหลักแยกตามแหล่งเงิน</t>
    </r>
  </si>
  <si>
    <t>ผลผลิตหลัก</t>
  </si>
  <si>
    <t>1.การป้องกันและปราบปรามการฟอกเงิน</t>
  </si>
  <si>
    <t>2. โครงการสืบสวน ปราบปรามเพื่อดำเนินการกับทรัพย์สินหรือผู้กระทำความผิดมูลฐานยาเสพติดตามกฎหมายฟอกเงิน</t>
  </si>
  <si>
    <t>ตารางแสดงการเปรียบเทียบต้นทุนผลผลิตจำแนกตามประเภทค่าใช้จ่าย</t>
  </si>
  <si>
    <t xml:space="preserve">ต้นทุนผลผลิตรวม </t>
  </si>
  <si>
    <t>ปีงบประมาณ พ.ศ. 2558</t>
  </si>
  <si>
    <t>เพิ่มขึ้น/ลดลง</t>
  </si>
  <si>
    <t>คิดเป็นร้อยละ</t>
  </si>
  <si>
    <t>ตารางแสดงการเปรียบเทียบต้นทุนต่อหน่วยกิจกรรมย่อย</t>
  </si>
  <si>
    <t>ต้นทุนต่อหน่วยกิจกรรมย่อย</t>
  </si>
  <si>
    <t>ตารางแสดงการเปรียบเทียบต้นทุนต่อหน่วยผลผลิตย่อย</t>
  </si>
  <si>
    <r>
      <t>ตารางที่ 11</t>
    </r>
    <r>
      <rPr>
        <sz val="14"/>
        <color indexed="8"/>
        <rFont val="TH SarabunPSK"/>
        <family val="2"/>
      </rPr>
      <t xml:space="preserve"> 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</t>
    </r>
  </si>
  <si>
    <t>ต้นทุนคงที่เพิ่ม/(ลด) %</t>
  </si>
  <si>
    <t>ต้นทุนผันแปรเพิ่ม/(ลด) %</t>
  </si>
  <si>
    <t>ต้นทุนรวมเพิ่ม((ลด)%</t>
  </si>
  <si>
    <t>ต้นทุนคงที่</t>
  </si>
  <si>
    <t>ต้นทุนผันแปร</t>
  </si>
  <si>
    <t>ค่าใช้จ่ายบุคลากร</t>
  </si>
  <si>
    <t>ค่าตอบแทนใช้สอยวัสดุ และค่าสาธารณูปโภค</t>
  </si>
  <si>
    <t>ค่าเสื่อมราคาและค่าตัดจำหน่าย</t>
  </si>
  <si>
    <t>ค่าใช้จ่ายเงินอุดหนุน</t>
  </si>
  <si>
    <t>ค่าใช้จ่ายฝึกอบรม</t>
  </si>
  <si>
    <t>ค่าใช้จ่ายเดินทาง</t>
  </si>
  <si>
    <t xml:space="preserve">กองบริหารจัดการทรัพย์สิน
</t>
  </si>
  <si>
    <t xml:space="preserve">กองคดี 1
</t>
  </si>
  <si>
    <t>รวมต้นทุนของศูนย์ต้นทุนหลัก</t>
  </si>
  <si>
    <t>ส่วนงานเลขาธิการ</t>
  </si>
  <si>
    <t>รวมต้นทุนของศูนย์ต้นทุนสนับสนุน</t>
  </si>
  <si>
    <t>ต้นทุนทางตรง ปีงบประมาณ พ.ศ. 2558</t>
  </si>
  <si>
    <t>ต้นทุนทางอ้อม</t>
  </si>
  <si>
    <t>ผลการเปรียบเทียบ เพิ่ม/ลด (%)</t>
  </si>
  <si>
    <t>ต้นทุนคงที่ (เพิ่ม/ลด) %</t>
  </si>
  <si>
    <t>ต้นทุนผันแปร(เพิ่ม/ลด) %</t>
  </si>
  <si>
    <t>1. ค่าใช้จ่ายบุคลากร (ค่ารักษาพยาบาล)</t>
  </si>
  <si>
    <t>2. ค่าตอบแทน ใช้สอยวัสดุและค่าสาธารณูปโภค</t>
  </si>
  <si>
    <t>4. ค่าใช้จ่ายดำเนินงานรักษาความมั่นคงของประเทศ</t>
  </si>
  <si>
    <r>
      <rPr>
        <b/>
        <sz val="14"/>
        <color theme="1"/>
        <rFont val="TH SarabunPSK"/>
        <family val="2"/>
      </rPr>
      <t>ตารางที่ 1</t>
    </r>
    <r>
      <rPr>
        <sz val="14"/>
        <color theme="1"/>
        <rFont val="TH SarabunPSK"/>
        <family val="2"/>
      </rPr>
      <t xml:space="preserve"> รายงานต้นทุนรวมของหน่วยงาน โดยแยกประเภทตามแหล่งเงิน</t>
    </r>
  </si>
  <si>
    <r>
      <rPr>
        <b/>
        <sz val="16"/>
        <color theme="1"/>
        <rFont val="TH SarabunPSK"/>
        <family val="2"/>
      </rPr>
      <t>ตารางที่ 2</t>
    </r>
    <r>
      <rPr>
        <sz val="16"/>
        <color theme="1"/>
        <rFont val="TH SarabunPSK"/>
        <family val="2"/>
      </rPr>
      <t xml:space="preserve"> รายงานต้นทุนตามศูนย์ต้นทุนแยกตามประเภทค่าใช้จ่าย</t>
    </r>
  </si>
  <si>
    <t>หมายเหตุประกอบตารางที่ 2 รายงานต้นทุนตามศูนย์ต้นทุนแยกตามประเภทค่าใช้จ่าย</t>
  </si>
  <si>
    <t>9. ตรวจสอบวิเคราะห์ สืบสวน สอบสวนรวบรวมพยานหลักฐานและส่งให้หน่วยงานที่เกี่ยวข้องเพื่อดำเนินการกับผู้กระทำความผิดตามกฎหมายฟอกเงิน กฎหมายต่อต้านการสนับสนุนทางการเงินแก่การก่อการร้าย และกฎหมายอื่น</t>
  </si>
  <si>
    <r>
      <rPr>
        <b/>
        <sz val="14"/>
        <color indexed="8"/>
        <rFont val="TH SarabunPSK"/>
        <family val="2"/>
      </rPr>
      <t>ตารางที่</t>
    </r>
    <r>
      <rPr>
        <sz val="14"/>
        <color indexed="8"/>
        <rFont val="TH SarabunPSK"/>
        <family val="2"/>
      </rPr>
      <t xml:space="preserve"> </t>
    </r>
    <r>
      <rPr>
        <b/>
        <sz val="14"/>
        <color indexed="8"/>
        <rFont val="TH SarabunPSK"/>
        <family val="2"/>
      </rPr>
      <t xml:space="preserve">12  </t>
    </r>
    <r>
      <rPr>
        <sz val="14"/>
        <color indexed="8"/>
        <rFont val="TH SarabunPSK"/>
        <family val="2"/>
      </rPr>
      <t>รายงานเปรียบเทียบต้นทุนทางอ้อมตามลักษณะของต้นทุน (คงที่/ผันแปร)</t>
    </r>
  </si>
  <si>
    <t>เงินนอกนอกงบประมาณ</t>
  </si>
  <si>
    <t>5. ค่าเสื่อมราคาและค่าตัดจำหน่าย</t>
  </si>
  <si>
    <t xml:space="preserve">ค่าเสื่อมราคาและค่าตัดจำหน่าย </t>
  </si>
  <si>
    <t>เงินใน งปม.</t>
  </si>
  <si>
    <t>ตารางที่ 5 รายงานต้นทุนกิจกรรมหลักแยกตามแหล่งเงิน</t>
  </si>
  <si>
    <t>ตารางที่ 4 รายงานต้นทุนผลผลิตย่อยแยกตามแหล่งเงิน</t>
  </si>
  <si>
    <r>
      <t xml:space="preserve">ตารางที่ 8 </t>
    </r>
    <r>
      <rPr>
        <sz val="15"/>
        <color indexed="8"/>
        <rFont val="TH SarabunPSK"/>
        <family val="2"/>
      </rPr>
      <t>เปรียบเทียบผลการคำนวณต้นทุนผลผลิตย่อยแยกตามแหล่งเงิน</t>
    </r>
  </si>
  <si>
    <r>
      <t xml:space="preserve">ตารางที่ 9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เปรียบเทียบผลการคำนวณต้นทุนกิจกรรมหลักแยกตามแหล่งเงิน</t>
    </r>
  </si>
  <si>
    <t>3. ค่าเสื่อมราคาและค่าตัดจำหน่าย</t>
  </si>
  <si>
    <t xml:space="preserve">ผลการเปรียบเทียบ
</t>
  </si>
  <si>
    <t>ต้นทุนต่อหน่วย เพิ่ม/(ลด) %</t>
  </si>
  <si>
    <t>ปริมาณ เพิ่ม/(ลด) %</t>
  </si>
  <si>
    <t>ต้นทุนรวม เพิ่ม/(ลด) %</t>
  </si>
  <si>
    <t>ต้นทุน
คงที่ เพิ่ม/(ลด) %</t>
  </si>
  <si>
    <t>ต้นทุนผันแปร เพิ่ม/(ลด) %</t>
  </si>
  <si>
    <t>ต้นทุน
รวม เพิ่ม/(ลด) %</t>
  </si>
  <si>
    <t>จำนวนเรื่องที่ตรวจสอบวิเคราะห์ สืบสวน สอบสวนรวบรวมพยานหลักฐานและส่งให้หน่วยงานที่เกี่ยวข้องเพื่อดำเนินการกับผู้กระทำความผิดตามกฎหมายฟอกเงิน กฎหมายต่อต้านการสนับสนุนทางการเงินแก่การก่อการร้าย และกฎหมายอื่น</t>
  </si>
  <si>
    <t>รายงานผลการคำนวณต้นทุนผลผลิต ปีงบประมาณ พ.ศ. 2559</t>
  </si>
  <si>
    <t>8. ค่าใช้จ่ายอื่น</t>
  </si>
  <si>
    <t>ค่าใช้จ่ายอื่น</t>
  </si>
  <si>
    <t>จำนวนวันคนงานตรวจสอบ (Man-day)</t>
  </si>
  <si>
    <t>จำนวนครั้งของการกำกับ ตรวจสอบ ติดตาม และประเมินผล</t>
  </si>
  <si>
    <t>3. โครงการสืบสวน ปราบปรามเพื่อดำเนินการกับทรัพย์สินหรือผู้กระทำความผิดต่อตำแหน่งหน้าที่หรือทุจริตต่อหน้าที่ตามกฎหมายฟอกเงิน</t>
  </si>
  <si>
    <t>4. โครงการสืบสวน ปราบปรามเพื่อดำเนินการกับทรัพย์สินหรือผู้กระทำความผิดมูลฐานการค้ามนุษย์ตามกฎหมายฟอกเงิน</t>
  </si>
  <si>
    <t xml:space="preserve">ต้นทุนผลผลิตประจำปีงบประมาณ พ.ศ. 2558 (ต.ค. 57- ก.ย. 58) </t>
  </si>
  <si>
    <t xml:space="preserve">ต้นทุนผลผลิตประจำปีงบประมาณ พ.ศ. 2559 (ต.ค. 58 - ก.ย. 59) </t>
  </si>
  <si>
    <t>ตารางเปรียบเทียบผลการคำนวณต้นทุนผลผลิตระหว่างปีงบประมาณ พ.ศ. 2558 และ ปีงบประมาณ พ.ศ. 2559</t>
  </si>
  <si>
    <t xml:space="preserve">ต้นทุนผลผลิตประจำปีงบประมาณ พ.ศ. 2559 (ต.ค. 58-ก.ย. 59) </t>
  </si>
  <si>
    <t>ต้นทุนทางตรง ปีงบประมาณ พ.ศ. 2559</t>
  </si>
  <si>
    <t>ค่าใฃ้จ่ายอื่น</t>
  </si>
  <si>
    <t>ปีงบประมาณ พ.ศ. 2559</t>
  </si>
  <si>
    <t>diff</t>
  </si>
  <si>
    <t>รวมทางตรง</t>
  </si>
  <si>
    <t>รายงานเปรียบเทียบผลการคำนวณต้นทุนผลผลิตระหว่างปีงบประมาณ พ.ศ. 2558 และ เงินงบประมาณ พ.ศ. 2559</t>
  </si>
  <si>
    <t>การขายทอดตลาดทรัพย์สิน</t>
  </si>
  <si>
    <t xml:space="preserve">เก็บรักษาทรัพย์สิน </t>
  </si>
  <si>
    <t>สำรวจทรัพย์สิน</t>
  </si>
  <si>
    <t>การดำเนินการเกี่ยยกับทรัพย์สิน</t>
  </si>
  <si>
    <t>นโยบาย/แผน/มาตรการในการป้องกันและปราบปรามการฟอกเงิน</t>
  </si>
  <si>
    <t>การกำกับ ตรวจสอบ ติดตาม และประเมินการปฏิบัติตามหฎหมายว่าด้วยการป้องกันและปราบปรามการฟอกเงินและกฎหมายว่าด้วยการป้องกันและปราบปรามการสนับสนุนทางการเงินแก่การก่อ</t>
  </si>
  <si>
    <t>ตรวจสอบวิเคราะห์ สืบสวน สอบสวนรวบรวมพยานหลักฐานและส่งให้หน่วยงานที่เกี่ยวข้องเพื่อดำเนินตามกฎหมายว่าด้วยการป้องกันและปราบปรามการฟอกเงินและกฎหมายว่าด้วยการป้องกันและปราบปรามการสนับสนุนทางการเงินแก่การก่อการร้ายหรือกฎหมายอื่นที่เกี่ยวข้อง</t>
  </si>
  <si>
    <t>งานด้านเทคโนโลยีสารสนเทศภายในหน่วยงาน</t>
  </si>
  <si>
    <t xml:space="preserve">บริหารจัดการทรัพย์สินที่ยึดหรืออายัดไว้
</t>
  </si>
  <si>
    <t>3. สืบสวน ปราบปรามเพื่อดำเนินการกับทรัพย์สินหรือผู้กระทำความผิดมูลฐานยาเสพติดตามกฎหมายฟอกเงิน</t>
  </si>
  <si>
    <t>4. สืบสวน ปราบปรามเพื่อดำเนินการกับทรัพย์สินหรือผู้กระทำความผิดต่อตำแหน่งหน้าที่หรือทุจริตต่อหน้าที่</t>
  </si>
  <si>
    <t>5. สืบสวน ปราบปรามเพื่อดำเนินการกับทรัพย์สินหรือผู้กระทำความผิดมูลฐานการค้ามนุษย์ตามกฎหมายฟอกเงิน</t>
  </si>
  <si>
    <t>6. พัฒนาและปรับปรุงระบบเทคโนโลยีสารสนเทศและการสือสาร</t>
  </si>
  <si>
    <t>4.การดำเนินการเกี่ยวกับทรัพย์สิน</t>
  </si>
  <si>
    <t>5. นโยบาย แผน มาตรการในการป้องกันและปราบปรามการฟอกเงิน</t>
  </si>
  <si>
    <t xml:space="preserve">6. งานด้านประชาสัมพันธ์และเผยแพร่ความรู้เกี่ยวกับการป้องกันและปราบปรามการฟอกเงิน </t>
  </si>
  <si>
    <t>7. งานด้านกฎหมายที่เกี่ยวข้องกับการป้องกันและปรามปรามการฟอกเงิน</t>
  </si>
  <si>
    <t>23. งานด้านยานพาหนะ</t>
  </si>
  <si>
    <t>24. งานด้านสารบรรณ</t>
  </si>
  <si>
    <t>10. พัฒนาระบบสารสนเทศที่ใช้ในการป้องกันและปราบปรามการฟอกเงิน</t>
  </si>
  <si>
    <t>11. งานด้านแผน</t>
  </si>
  <si>
    <t>12. งานด้านพัฒนาทรัพยากรบุคคล</t>
  </si>
  <si>
    <t>13. งานด้านส่งข้าราชการไปประชุม/อบรม/ดูงานระหว่างประเทศ</t>
  </si>
  <si>
    <t>14. งานด้านเครือข่ายอินเตอร์เน็ตและเว็บไซต์</t>
  </si>
  <si>
    <t>15. งานด้านเทคโนโลยีสารสนเทศภายในหน่วยงาน</t>
  </si>
  <si>
    <t>16. งานด้านตรวจสอบภายใน</t>
  </si>
  <si>
    <t>17. งานด้านการพัฒนาระบบบริหารราชการ</t>
  </si>
  <si>
    <t>18. งานด้านบริหารงานทั่วไป</t>
  </si>
  <si>
    <t>19. งานด้านการเงินและบัญชี</t>
  </si>
  <si>
    <t>20. งานด้านการพัสดุ (การจัดซื้อจัดจ้าง)</t>
  </si>
  <si>
    <t>21. งานด้านบริหารบุคลากร</t>
  </si>
  <si>
    <t>8.การกำกับ ตรวจสอบ ติดตาม และประเมินผลการปฏิบัติตามกฎหมายว่าด้วยการป้องกันและปราบปรามการฟอกเงินและกฎหมายว่าด้วยการป้องกันและปราบปรามการสนับสนุนทางการเงินแก่การก่อการร้ายชองผู้มีหน้าที่รายงาน</t>
  </si>
  <si>
    <t>-</t>
  </si>
  <si>
    <t>301,709</t>
  </si>
  <si>
    <t>68,188</t>
  </si>
  <si>
    <t>12,854</t>
  </si>
  <si>
    <t>20,527</t>
  </si>
  <si>
    <t>29,076</t>
  </si>
  <si>
    <t>2.การดำเนินการเกี่ยวกับทรัพย์สิน</t>
  </si>
  <si>
    <t xml:space="preserve">2.1 สืบสวนสอบสวน รวบรวมพยานหลักฐานเพื่อดำเนินการเกี่ยวกับทรัพย์สินที่เกี่ยวกับการกระทำควาผิดมูลฐาน 
</t>
  </si>
  <si>
    <t>2.2 การยึดอายัดทรัพย์สินที่เกี่ยวกับการกระทำความผิดมูลฐาน</t>
  </si>
  <si>
    <t xml:space="preserve">3. นโยบายแผนมาตรการในการป้องกันและปราบปรามการฟอกเงิน </t>
  </si>
  <si>
    <t>4.  การประชาสัมพันธ์และเผยแพร่ความรู้เกี่ยวกับการป้องกันและปราบปรามการฟอกเงิน</t>
  </si>
  <si>
    <t xml:space="preserve">5. งานด้านกฎหมายที่เกี่ยวข้องกับการป้องกันและปราบปรามการฟอกเงิน </t>
  </si>
  <si>
    <t>การดำเนินการเกี่ยวกับทรัพย์สิน</t>
  </si>
  <si>
    <t>6.จำนวนครั้งของการกำกับ ตรวจสอบ ติดตาม และประเมินผล</t>
  </si>
  <si>
    <t>7. จำนวนเรื่องที่ตรวจสอบวิเคราะห์ สืบสวน สอบสวนรวบรวมพยานหลักฐานและส่งให้หน่วยงานที่เกี่ยวข้องฯ</t>
  </si>
  <si>
    <t xml:space="preserve">8. ระบบสารสนเทศที่ใช้ในการป้องกันและปราบปรามการฟอกเงิน </t>
  </si>
  <si>
    <t xml:space="preserve"> 6.1 การตรวจสอบการฝ่าฝืนหรือไม่ปฏิบัติตามกฎหมาย และการประเมินความเสี่ยงด้านการปฏิบัติตามกฏหมายฯ</t>
  </si>
  <si>
    <t xml:space="preserve"> 6.2การประสานงานเพื่อสนับสนุนการปฏิบัติงานตามกฎหมายว่าด้วยการป้องกันและปราบปรามการฟอกเงินฯ</t>
  </si>
  <si>
    <t xml:space="preserve"> 4.1 สืบสวนสอบสวนรวบรวมพยานหลักฐานเพื่อดำเนินการกับทรัพย์สินที่เกี่ยวกับการกระทำความผิดมูลฐาน</t>
  </si>
  <si>
    <t xml:space="preserve"> 8.1 ตรวจสอบการฝ่าฝืนหรือไม่ปฏิบัติตามกฎหมาย และการประเมินความเสี่ยงด้านการปฏิบัติตามกฎหมายว่าด้วยการป้องกันและการปราบปรามการฟอกเงิน และกฎหมายว่าด้วยการป้องกันและสนับสนุนทางการเงินแก่การก่อการร้ายของผู้มีหน้าที่รายงานการทำธุรกรรม</t>
  </si>
  <si>
    <t xml:space="preserve"> 8.2 ประสานงานเพื่อสนับสนุนการปฏิบัติงานตามกฎหมายในการป้องกันและปราบปรามการฟอกเงินและกฎหมายว่าด้วยการป้องกันและปราบปรามการสนับสนุนทางการเงินแก่การก่อการร้ายของผู้มีหน้าที่รายงานการทำธุรกรรม</t>
  </si>
  <si>
    <t>3. โครงการสืบสวน ปราบปรามเพื่อดำเนินการกับทรัพย์สินหรือผู้กระทำความผิดมูลฐานยาเสพติดตามกฎหมายฟอกเงิน</t>
  </si>
  <si>
    <t>4. โครงการสืบสวน ปราบปรามเพื่อดำเนินการกับทรัพย์สินหรือผู้กระทำความผิดต่อตำแหน่งหน้าที่หรือทุจริตต่อหน้าที่</t>
  </si>
  <si>
    <t>6. พัฒนาและปรับปรุงระบบเทคโนโลยีสารสนเทศและการสื่อสาร</t>
  </si>
  <si>
    <t>19</t>
  </si>
  <si>
    <t>100</t>
  </si>
  <si>
    <t>1. การดำเนินการเกี่ยวกับทรัพย์สิน</t>
  </si>
  <si>
    <t>2. นโยบาย แผน มาตรการในการป้องกันและปราบปรามการฟอกเงิน</t>
  </si>
  <si>
    <t xml:space="preserve">3.ตรวจสอบวิเคราะห์ สืบสวน สอบสวนรวบรวมพยานหลักฐานและส่งให้หน่วยงานที่เกี่ยวข้องเพื่อดำเนินการกับผู้กระทำความผิดตามกฎหมายฟอกเงิน </t>
  </si>
  <si>
    <t>4.พัฒนาระบบสารสนเทศที่ใช้ในการป้องกันและปราบปรามการฟอกเงิน</t>
  </si>
  <si>
    <t>5. งานด้านแผน</t>
  </si>
  <si>
    <t>6.งานด้านเครือข่ายอินเตอร์เน็ตและเว็บไซต์</t>
  </si>
  <si>
    <t>7. งานด้านเทคโนโลยีสารสนเทศภายในหน่วยงาน</t>
  </si>
  <si>
    <t>8. งานด้านบริหารงานทั่วไป</t>
  </si>
  <si>
    <t>9. งานด้านการพัสดุ (การจัดซื้อจัดจ้าง)</t>
  </si>
  <si>
    <t>10.งานด้านบริหารบุคลากร</t>
  </si>
  <si>
    <t>2. การดำเนินการเกี่ยวกับทรัพย์สิน</t>
  </si>
  <si>
    <t>3.การประชาสัมพันธ์และเผยแพร่ความรู้เกี่ยวกับการป้องกันและปราบปรามการฟอกเงิน</t>
  </si>
  <si>
    <t xml:space="preserve">4. งานด้านกฎหมายที่เกี่ยวข้องกับการป้องกันและปราบปรามการฟอกเงิน </t>
  </si>
  <si>
    <t>5. จำนวนเรื่องที่ตรวจสอบวิเคราะห์ สืบสวน สอบสวนรวบรวมพยานหลักฐานและส่งให้หน่วยงานที่เกี่ยวข้องฯ</t>
  </si>
  <si>
    <t xml:space="preserve">6. ระบบสารสนเทศที่ใช้ในการป้องกันและปราบปรามการฟอกเงิน </t>
  </si>
  <si>
    <t xml:space="preserve"> 4.2 การยึดอายัดทรัพย์สินที่เกี่ยวกับการกระทำความผิดมูลฐาน 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</si>
</sst>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(* #,##0.00_);_(* \(#,##0.00\);_(* &quot;-&quot;??_);_(@_)"/>
    <numFmt numFmtId="188" formatCode="[$-D000000]0"/>
    <numFmt numFmtId="189" formatCode="_-* #,##0.0000_-;\-* #,##0.0000_-;_-* &quot;-&quot;??_-;_-@_-"/>
  </numFmts>
  <fonts count="6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  <font>
      <sz val="11"/>
      <color indexed="8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theme="1" tint="4.9989318521683403E-2"/>
      <name val="TH SarabunPSK"/>
      <family val="2"/>
    </font>
    <font>
      <b/>
      <sz val="14"/>
      <color indexed="8"/>
      <name val="TH SarabunPSK"/>
      <family val="2"/>
    </font>
    <font>
      <sz val="10"/>
      <color theme="1" tint="4.9989318521683403E-2"/>
      <name val="TH SarabunPSK"/>
      <family val="2"/>
    </font>
    <font>
      <sz val="11"/>
      <color theme="1" tint="4.9989318521683403E-2"/>
      <name val="TH SarabunPSK"/>
      <family val="2"/>
    </font>
    <font>
      <sz val="12"/>
      <color theme="1" tint="4.9989318521683403E-2"/>
      <name val="TH SarabunPSK"/>
      <family val="2"/>
    </font>
    <font>
      <sz val="9"/>
      <color theme="1" tint="4.9989318521683403E-2"/>
      <name val="TH SarabunPSK"/>
      <family val="2"/>
    </font>
    <font>
      <sz val="8"/>
      <color theme="1" tint="4.9989318521683403E-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sz val="12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/>
      <sz val="9"/>
      <name val="TH SarabunPSK"/>
      <family val="2"/>
    </font>
    <font>
      <b/>
      <sz val="8"/>
      <name val="TH SarabunPSK"/>
      <family val="2"/>
    </font>
    <font>
      <b/>
      <sz val="14"/>
      <color theme="1" tint="4.9989318521683403E-2"/>
      <name val="TH SarabunPSK"/>
      <family val="2"/>
    </font>
    <font>
      <b/>
      <sz val="15"/>
      <color theme="1" tint="4.9989318521683403E-2"/>
      <name val="TH SarabunPSK"/>
      <family val="2"/>
    </font>
    <font>
      <sz val="15"/>
      <color indexed="8"/>
      <name val="TH SarabunPSK"/>
      <family val="2"/>
    </font>
    <font>
      <sz val="15"/>
      <color theme="1" tint="4.9989318521683403E-2"/>
      <name val="TH SarabunPSK"/>
      <family val="2"/>
    </font>
    <font>
      <b/>
      <sz val="11"/>
      <name val="TH SarabunPSK"/>
      <family val="2"/>
    </font>
    <font>
      <b/>
      <sz val="9"/>
      <color theme="1" tint="4.9989318521683403E-2"/>
      <name val="TH SarabunPSK"/>
      <family val="2"/>
    </font>
    <font>
      <sz val="16"/>
      <color theme="1" tint="4.9989318521683403E-2"/>
      <name val="TH SarabunPSK"/>
      <family val="2"/>
    </font>
    <font>
      <sz val="10"/>
      <color indexed="8"/>
      <name val="Tahoma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0.5"/>
      <color theme="1"/>
      <name val="TH SarabunPSK"/>
      <family val="2"/>
    </font>
    <font>
      <sz val="10"/>
      <color theme="1"/>
      <name val="TH SarabunPSK"/>
      <family val="2"/>
    </font>
    <font>
      <sz val="14"/>
      <color theme="2" tint="-0.89999084444715716"/>
      <name val="TH SarabunPSK"/>
      <family val="2"/>
    </font>
    <font>
      <sz val="14"/>
      <color theme="0"/>
      <name val="TH SarabunPSK"/>
      <family val="2"/>
    </font>
    <font>
      <b/>
      <sz val="12.5"/>
      <color theme="1"/>
      <name val="TH SarabunPSK"/>
      <family val="2"/>
    </font>
    <font>
      <sz val="12.5"/>
      <color theme="1"/>
      <name val="TH SarabunPSK"/>
      <family val="2"/>
    </font>
    <font>
      <sz val="13"/>
      <color indexed="8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b/>
      <u/>
      <sz val="11"/>
      <name val="TH SarabunPSK"/>
      <family val="2"/>
    </font>
    <font>
      <b/>
      <sz val="16"/>
      <color theme="1" tint="4.9989318521683403E-2"/>
      <name val="TH SarabunPSK"/>
      <family val="2"/>
    </font>
    <font>
      <sz val="13"/>
      <color theme="1" tint="4.9989318521683403E-2"/>
      <name val="TH SarabunPSK"/>
      <family val="2"/>
    </font>
    <font>
      <sz val="13"/>
      <color theme="2" tint="-0.89999084444715716"/>
      <name val="TH SarabunPSK"/>
      <family val="2"/>
    </font>
    <font>
      <b/>
      <sz val="13"/>
      <color theme="1" tint="4.9989318521683403E-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2.5"/>
      <color theme="1" tint="4.9989318521683403E-2"/>
      <name val="TH SarabunPSK"/>
      <family val="2"/>
    </font>
    <font>
      <sz val="12.5"/>
      <color indexed="8"/>
      <name val="TH SarabunPSK"/>
      <family val="2"/>
    </font>
    <font>
      <b/>
      <sz val="12.5"/>
      <color theme="1" tint="4.9989318521683403E-2"/>
      <name val="TH SarabunPSK"/>
      <family val="2"/>
    </font>
    <font>
      <sz val="9"/>
      <color theme="1"/>
      <name val="TH SarabunPSK"/>
      <family val="2"/>
    </font>
    <font>
      <sz val="16"/>
      <color rgb="FFFF0000"/>
      <name val="TH SarabunPSK"/>
      <family val="2"/>
    </font>
    <font>
      <sz val="12"/>
      <color indexed="8"/>
      <name val="TH SarabunPSK"/>
      <family val="2"/>
    </font>
    <font>
      <sz val="12.5"/>
      <color rgb="FFFF0000"/>
      <name val="TH SarabunPSK"/>
      <family val="2"/>
    </font>
    <font>
      <sz val="10.5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11" fillId="0" borderId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39" fillId="0" borderId="0"/>
  </cellStyleXfs>
  <cellXfs count="89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7" xfId="0" applyFont="1" applyFill="1" applyBorder="1" applyAlignment="1">
      <alignment horizontal="center" vertical="top"/>
    </xf>
    <xf numFmtId="187" fontId="9" fillId="0" borderId="7" xfId="0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9" fillId="0" borderId="7" xfId="0" applyFont="1" applyBorder="1" applyAlignment="1">
      <alignment vertical="top"/>
    </xf>
    <xf numFmtId="0" fontId="9" fillId="0" borderId="7" xfId="0" applyFont="1" applyBorder="1" applyAlignment="1">
      <alignment horizontal="center" vertical="top"/>
    </xf>
    <xf numFmtId="187" fontId="20" fillId="0" borderId="7" xfId="6" applyFont="1" applyFill="1" applyBorder="1" applyAlignment="1">
      <alignment horizontal="center" vertical="center" wrapText="1"/>
    </xf>
    <xf numFmtId="0" fontId="20" fillId="0" borderId="0" xfId="2" applyFont="1" applyFill="1" applyAlignment="1">
      <alignment vertical="center"/>
    </xf>
    <xf numFmtId="0" fontId="5" fillId="0" borderId="0" xfId="0" applyFont="1" applyAlignment="1">
      <alignment horizontal="center"/>
    </xf>
    <xf numFmtId="0" fontId="4" fillId="0" borderId="8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22" fillId="0" borderId="0" xfId="2" applyFont="1" applyFill="1" applyAlignment="1">
      <alignment horizontal="center" vertical="center"/>
    </xf>
    <xf numFmtId="187" fontId="22" fillId="0" borderId="0" xfId="6" applyFont="1" applyFill="1" applyAlignment="1">
      <alignment vertical="center"/>
    </xf>
    <xf numFmtId="0" fontId="22" fillId="0" borderId="0" xfId="2" applyFont="1" applyFill="1" applyAlignment="1">
      <alignment vertical="center"/>
    </xf>
    <xf numFmtId="0" fontId="22" fillId="0" borderId="0" xfId="2" applyFont="1" applyFill="1" applyAlignment="1">
      <alignment horizontal="left" vertical="center"/>
    </xf>
    <xf numFmtId="0" fontId="22" fillId="0" borderId="0" xfId="2" applyFont="1" applyFill="1" applyBorder="1" applyAlignment="1">
      <alignment horizontal="left" vertical="center"/>
    </xf>
    <xf numFmtId="0" fontId="24" fillId="0" borderId="0" xfId="2" applyFont="1" applyFill="1" applyBorder="1" applyAlignment="1">
      <alignment horizontal="center" vertical="center"/>
    </xf>
    <xf numFmtId="49" fontId="22" fillId="0" borderId="0" xfId="2" applyNumberFormat="1" applyFont="1" applyFill="1" applyAlignment="1">
      <alignment horizontal="center" vertical="center"/>
    </xf>
    <xf numFmtId="43" fontId="22" fillId="0" borderId="0" xfId="2" applyNumberFormat="1" applyFont="1" applyFill="1" applyAlignment="1">
      <alignment horizontal="center" vertical="center"/>
    </xf>
    <xf numFmtId="187" fontId="25" fillId="0" borderId="0" xfId="6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vertical="center"/>
    </xf>
    <xf numFmtId="187" fontId="22" fillId="0" borderId="0" xfId="6" applyFont="1" applyFill="1" applyBorder="1" applyAlignment="1">
      <alignment horizontal="center" vertical="center"/>
    </xf>
    <xf numFmtId="187" fontId="24" fillId="0" borderId="0" xfId="6" applyFont="1" applyFill="1" applyAlignment="1">
      <alignment vertical="center"/>
    </xf>
    <xf numFmtId="0" fontId="24" fillId="0" borderId="0" xfId="2" applyFont="1" applyFill="1" applyAlignment="1">
      <alignment vertical="center"/>
    </xf>
    <xf numFmtId="187" fontId="24" fillId="0" borderId="0" xfId="6" applyFont="1" applyFill="1" applyBorder="1" applyAlignment="1">
      <alignment vertical="center"/>
    </xf>
    <xf numFmtId="0" fontId="24" fillId="0" borderId="0" xfId="2" applyFont="1" applyFill="1" applyBorder="1" applyAlignment="1">
      <alignment vertical="center"/>
    </xf>
    <xf numFmtId="187" fontId="25" fillId="0" borderId="0" xfId="6" applyFont="1" applyFill="1" applyBorder="1" applyAlignment="1">
      <alignment vertical="center"/>
    </xf>
    <xf numFmtId="43" fontId="25" fillId="0" borderId="0" xfId="2" applyNumberFormat="1" applyFont="1" applyFill="1" applyBorder="1" applyAlignment="1">
      <alignment vertical="center"/>
    </xf>
    <xf numFmtId="0" fontId="25" fillId="0" borderId="0" xfId="2" applyFont="1" applyFill="1" applyBorder="1" applyAlignment="1">
      <alignment vertical="center"/>
    </xf>
    <xf numFmtId="187" fontId="25" fillId="0" borderId="0" xfId="6" applyFont="1" applyFill="1" applyBorder="1" applyAlignment="1">
      <alignment horizontal="left" vertical="center"/>
    </xf>
    <xf numFmtId="43" fontId="25" fillId="0" borderId="0" xfId="2" applyNumberFormat="1" applyFont="1" applyFill="1" applyBorder="1" applyAlignment="1">
      <alignment horizontal="left" vertical="center"/>
    </xf>
    <xf numFmtId="0" fontId="25" fillId="0" borderId="0" xfId="2" applyFont="1" applyFill="1" applyBorder="1" applyAlignment="1">
      <alignment horizontal="left" vertical="center"/>
    </xf>
    <xf numFmtId="0" fontId="25" fillId="0" borderId="0" xfId="2" applyFont="1" applyFill="1" applyAlignment="1">
      <alignment horizontal="left" vertical="center"/>
    </xf>
    <xf numFmtId="187" fontId="24" fillId="0" borderId="0" xfId="6" applyFont="1" applyFill="1" applyBorder="1" applyAlignment="1">
      <alignment horizontal="left" vertical="center"/>
    </xf>
    <xf numFmtId="43" fontId="24" fillId="0" borderId="0" xfId="2" applyNumberFormat="1" applyFont="1" applyFill="1" applyBorder="1" applyAlignment="1">
      <alignment horizontal="left" vertical="center"/>
    </xf>
    <xf numFmtId="0" fontId="24" fillId="0" borderId="0" xfId="2" applyFont="1" applyFill="1" applyBorder="1" applyAlignment="1">
      <alignment horizontal="left" vertical="center"/>
    </xf>
    <xf numFmtId="187" fontId="25" fillId="0" borderId="0" xfId="6" applyFont="1" applyFill="1" applyAlignment="1">
      <alignment vertical="center"/>
    </xf>
    <xf numFmtId="187" fontId="25" fillId="0" borderId="0" xfId="6" applyFont="1" applyFill="1" applyBorder="1" applyAlignment="1">
      <alignment horizontal="center" vertical="center"/>
    </xf>
    <xf numFmtId="187" fontId="27" fillId="0" borderId="0" xfId="6" applyFont="1" applyFill="1" applyBorder="1" applyAlignment="1">
      <alignment vertical="center"/>
    </xf>
    <xf numFmtId="187" fontId="27" fillId="0" borderId="0" xfId="6" applyFont="1" applyFill="1" applyAlignment="1">
      <alignment vertical="center"/>
    </xf>
    <xf numFmtId="187" fontId="24" fillId="0" borderId="0" xfId="6" applyFont="1" applyFill="1" applyBorder="1" applyAlignment="1">
      <alignment horizontal="center" vertical="center"/>
    </xf>
    <xf numFmtId="187" fontId="27" fillId="0" borderId="0" xfId="6" applyFont="1" applyFill="1" applyAlignment="1">
      <alignment horizontal="center" vertical="center"/>
    </xf>
    <xf numFmtId="187" fontId="24" fillId="0" borderId="0" xfId="2" applyNumberFormat="1" applyFont="1" applyFill="1" applyAlignment="1">
      <alignment vertical="center"/>
    </xf>
    <xf numFmtId="0" fontId="24" fillId="0" borderId="0" xfId="2" applyFont="1" applyFill="1" applyAlignment="1">
      <alignment horizontal="center" vertical="center"/>
    </xf>
    <xf numFmtId="49" fontId="24" fillId="0" borderId="0" xfId="2" applyNumberFormat="1" applyFont="1" applyFill="1" applyAlignment="1">
      <alignment horizontal="center" vertical="center"/>
    </xf>
    <xf numFmtId="0" fontId="28" fillId="0" borderId="10" xfId="2" applyFont="1" applyFill="1" applyBorder="1" applyAlignment="1">
      <alignment vertical="center"/>
    </xf>
    <xf numFmtId="0" fontId="30" fillId="0" borderId="10" xfId="2" applyFont="1" applyFill="1" applyBorder="1" applyAlignment="1">
      <alignment vertical="center"/>
    </xf>
    <xf numFmtId="0" fontId="25" fillId="0" borderId="21" xfId="2" applyFont="1" applyFill="1" applyBorder="1" applyAlignment="1">
      <alignment vertical="center"/>
    </xf>
    <xf numFmtId="0" fontId="29" fillId="0" borderId="22" xfId="2" applyFont="1" applyFill="1" applyBorder="1" applyAlignment="1">
      <alignment vertical="center"/>
    </xf>
    <xf numFmtId="0" fontId="25" fillId="0" borderId="21" xfId="2" applyFont="1" applyFill="1" applyBorder="1" applyAlignment="1">
      <alignment horizontal="left" vertical="center"/>
    </xf>
    <xf numFmtId="0" fontId="29" fillId="0" borderId="22" xfId="2" applyFont="1" applyFill="1" applyBorder="1" applyAlignment="1">
      <alignment vertical="center" wrapText="1"/>
    </xf>
    <xf numFmtId="0" fontId="29" fillId="0" borderId="22" xfId="2" applyFont="1" applyFill="1" applyBorder="1" applyAlignment="1">
      <alignment horizontal="left" vertical="center" wrapText="1"/>
    </xf>
    <xf numFmtId="0" fontId="31" fillId="0" borderId="21" xfId="2" applyFont="1" applyFill="1" applyBorder="1" applyAlignment="1">
      <alignment vertical="center"/>
    </xf>
    <xf numFmtId="0" fontId="29" fillId="0" borderId="22" xfId="2" applyFont="1" applyFill="1" applyBorder="1" applyAlignment="1">
      <alignment horizontal="left" vertical="center"/>
    </xf>
    <xf numFmtId="0" fontId="25" fillId="0" borderId="24" xfId="2" applyFont="1" applyFill="1" applyBorder="1" applyAlignment="1">
      <alignment vertical="center"/>
    </xf>
    <xf numFmtId="0" fontId="33" fillId="0" borderId="0" xfId="2" applyFont="1" applyFill="1" applyAlignment="1">
      <alignment horizontal="left"/>
    </xf>
    <xf numFmtId="0" fontId="33" fillId="0" borderId="0" xfId="2" applyFont="1" applyFill="1" applyAlignment="1">
      <alignment horizontal="center"/>
    </xf>
    <xf numFmtId="0" fontId="33" fillId="0" borderId="0" xfId="2" applyFont="1" applyFill="1"/>
    <xf numFmtId="0" fontId="17" fillId="0" borderId="7" xfId="2" applyFont="1" applyFill="1" applyBorder="1" applyAlignment="1">
      <alignment horizontal="center" vertical="center"/>
    </xf>
    <xf numFmtId="0" fontId="19" fillId="0" borderId="0" xfId="2" applyFont="1" applyFill="1" applyAlignment="1">
      <alignment vertical="center"/>
    </xf>
    <xf numFmtId="0" fontId="35" fillId="0" borderId="0" xfId="2" applyFont="1" applyFill="1"/>
    <xf numFmtId="0" fontId="15" fillId="0" borderId="0" xfId="2" applyFont="1" applyFill="1"/>
    <xf numFmtId="187" fontId="15" fillId="0" borderId="0" xfId="6" applyFont="1" applyFill="1"/>
    <xf numFmtId="0" fontId="37" fillId="0" borderId="0" xfId="2" applyFont="1" applyFill="1" applyAlignment="1">
      <alignment horizontal="center"/>
    </xf>
    <xf numFmtId="0" fontId="17" fillId="0" borderId="11" xfId="2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center"/>
    </xf>
    <xf numFmtId="0" fontId="20" fillId="0" borderId="0" xfId="2" applyFont="1" applyFill="1" applyAlignment="1">
      <alignment vertical="top"/>
    </xf>
    <xf numFmtId="0" fontId="17" fillId="0" borderId="0" xfId="2" applyFont="1" applyFill="1"/>
    <xf numFmtId="0" fontId="17" fillId="0" borderId="0" xfId="2" applyFont="1" applyFill="1" applyAlignment="1">
      <alignment horizontal="center"/>
    </xf>
    <xf numFmtId="0" fontId="20" fillId="0" borderId="0" xfId="2" applyFont="1" applyFill="1"/>
    <xf numFmtId="187" fontId="17" fillId="0" borderId="0" xfId="6" applyFont="1" applyFill="1"/>
    <xf numFmtId="0" fontId="15" fillId="0" borderId="0" xfId="2" applyFont="1"/>
    <xf numFmtId="0" fontId="32" fillId="0" borderId="0" xfId="2" applyFont="1" applyAlignment="1">
      <alignment horizontal="left"/>
    </xf>
    <xf numFmtId="0" fontId="32" fillId="0" borderId="0" xfId="2" applyFont="1" applyAlignment="1">
      <alignment horizontal="center"/>
    </xf>
    <xf numFmtId="0" fontId="32" fillId="0" borderId="0" xfId="2" applyFont="1"/>
    <xf numFmtId="0" fontId="35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20" fillId="0" borderId="0" xfId="2" applyFont="1" applyAlignment="1">
      <alignment vertical="center"/>
    </xf>
    <xf numFmtId="0" fontId="20" fillId="0" borderId="0" xfId="2" applyFont="1" applyAlignment="1">
      <alignment vertical="top"/>
    </xf>
    <xf numFmtId="0" fontId="37" fillId="0" borderId="0" xfId="2" applyFont="1" applyAlignment="1">
      <alignment vertical="center"/>
    </xf>
    <xf numFmtId="0" fontId="21" fillId="0" borderId="0" xfId="2" applyFont="1"/>
    <xf numFmtId="0" fontId="35" fillId="0" borderId="0" xfId="2" applyFont="1" applyAlignment="1"/>
    <xf numFmtId="0" fontId="35" fillId="0" borderId="0" xfId="2" applyFont="1"/>
    <xf numFmtId="0" fontId="17" fillId="0" borderId="0" xfId="2" applyFont="1"/>
    <xf numFmtId="0" fontId="38" fillId="0" borderId="0" xfId="2" applyFont="1"/>
    <xf numFmtId="0" fontId="32" fillId="0" borderId="0" xfId="2" applyFont="1" applyFill="1" applyAlignment="1">
      <alignment horizontal="left"/>
    </xf>
    <xf numFmtId="0" fontId="32" fillId="0" borderId="0" xfId="2" applyFont="1" applyFill="1" applyAlignment="1">
      <alignment horizontal="center"/>
    </xf>
    <xf numFmtId="0" fontId="21" fillId="0" borderId="0" xfId="2" applyFont="1" applyFill="1"/>
    <xf numFmtId="0" fontId="35" fillId="0" borderId="0" xfId="2" applyFont="1" applyFill="1" applyAlignment="1"/>
    <xf numFmtId="0" fontId="38" fillId="0" borderId="0" xfId="2" applyFont="1" applyFill="1"/>
    <xf numFmtId="4" fontId="4" fillId="0" borderId="7" xfId="2" applyNumberFormat="1" applyFont="1" applyFill="1" applyBorder="1" applyAlignment="1">
      <alignment horizontal="right" wrapText="1"/>
    </xf>
    <xf numFmtId="0" fontId="6" fillId="0" borderId="7" xfId="0" applyFont="1" applyBorder="1" applyAlignment="1">
      <alignment horizontal="right"/>
    </xf>
    <xf numFmtId="4" fontId="6" fillId="0" borderId="7" xfId="0" applyNumberFormat="1" applyFont="1" applyBorder="1"/>
    <xf numFmtId="0" fontId="4" fillId="0" borderId="7" xfId="2" applyFont="1" applyFill="1" applyBorder="1" applyAlignment="1">
      <alignment horizontal="center" vertical="center" wrapText="1"/>
    </xf>
    <xf numFmtId="187" fontId="4" fillId="0" borderId="7" xfId="2" applyNumberFormat="1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4" fontId="6" fillId="0" borderId="4" xfId="11" applyNumberFormat="1" applyFont="1" applyFill="1" applyBorder="1" applyAlignment="1"/>
    <xf numFmtId="4" fontId="5" fillId="0" borderId="0" xfId="11" applyNumberFormat="1" applyFont="1" applyFill="1"/>
    <xf numFmtId="4" fontId="40" fillId="0" borderId="0" xfId="11" applyNumberFormat="1" applyFont="1" applyFill="1"/>
    <xf numFmtId="49" fontId="42" fillId="0" borderId="0" xfId="11" applyNumberFormat="1" applyFont="1" applyFill="1" applyAlignment="1">
      <alignment vertical="center"/>
    </xf>
    <xf numFmtId="4" fontId="43" fillId="0" borderId="0" xfId="11" applyNumberFormat="1" applyFont="1" applyFill="1" applyAlignment="1">
      <alignment vertical="center"/>
    </xf>
    <xf numFmtId="4" fontId="41" fillId="0" borderId="0" xfId="11" applyNumberFormat="1" applyFont="1" applyFill="1"/>
    <xf numFmtId="187" fontId="41" fillId="0" borderId="0" xfId="6" applyFont="1" applyFill="1"/>
    <xf numFmtId="0" fontId="26" fillId="0" borderId="7" xfId="2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/>
    </xf>
    <xf numFmtId="187" fontId="41" fillId="0" borderId="8" xfId="6" applyFont="1" applyFill="1" applyBorder="1" applyAlignment="1">
      <alignment horizontal="center" vertical="center" wrapText="1"/>
    </xf>
    <xf numFmtId="4" fontId="42" fillId="0" borderId="0" xfId="11" applyNumberFormat="1" applyFont="1" applyFill="1" applyBorder="1" applyAlignment="1">
      <alignment vertical="center"/>
    </xf>
    <xf numFmtId="4" fontId="43" fillId="0" borderId="0" xfId="11" applyNumberFormat="1" applyFont="1" applyFill="1" applyBorder="1" applyAlignment="1">
      <alignment vertical="center"/>
    </xf>
    <xf numFmtId="0" fontId="15" fillId="0" borderId="7" xfId="2" applyFont="1" applyBorder="1" applyAlignment="1">
      <alignment horizontal="center" vertical="center"/>
    </xf>
    <xf numFmtId="0" fontId="45" fillId="0" borderId="7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1" xfId="2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3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 wrapText="1"/>
    </xf>
    <xf numFmtId="0" fontId="4" fillId="0" borderId="33" xfId="2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3" fontId="5" fillId="0" borderId="0" xfId="1" applyFont="1" applyAlignment="1">
      <alignment horizontal="center"/>
    </xf>
    <xf numFmtId="43" fontId="5" fillId="0" borderId="0" xfId="0" applyNumberFormat="1" applyFont="1" applyAlignment="1">
      <alignment horizontal="center"/>
    </xf>
    <xf numFmtId="0" fontId="48" fillId="0" borderId="0" xfId="0" applyFont="1"/>
    <xf numFmtId="43" fontId="46" fillId="0" borderId="0" xfId="1" applyFont="1"/>
    <xf numFmtId="0" fontId="49" fillId="0" borderId="10" xfId="2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7" fillId="0" borderId="8" xfId="0" applyFont="1" applyBorder="1" applyAlignment="1">
      <alignment vertical="center"/>
    </xf>
    <xf numFmtId="43" fontId="48" fillId="0" borderId="8" xfId="1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43" fontId="48" fillId="0" borderId="8" xfId="1" applyFont="1" applyBorder="1" applyAlignment="1">
      <alignment vertical="center"/>
    </xf>
    <xf numFmtId="0" fontId="48" fillId="0" borderId="0" xfId="0" applyFont="1" applyAlignment="1">
      <alignment vertical="center"/>
    </xf>
    <xf numFmtId="43" fontId="48" fillId="0" borderId="34" xfId="1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43" fontId="48" fillId="0" borderId="18" xfId="1" applyFont="1" applyBorder="1" applyAlignment="1">
      <alignment horizontal="center" vertical="center"/>
    </xf>
    <xf numFmtId="43" fontId="48" fillId="0" borderId="18" xfId="0" applyNumberFormat="1" applyFont="1" applyBorder="1" applyAlignment="1">
      <alignment horizontal="center" vertical="center"/>
    </xf>
    <xf numFmtId="43" fontId="48" fillId="0" borderId="18" xfId="1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43" fontId="48" fillId="0" borderId="19" xfId="1" applyFont="1" applyBorder="1" applyAlignment="1">
      <alignment horizontal="center" vertical="center"/>
    </xf>
    <xf numFmtId="43" fontId="48" fillId="0" borderId="19" xfId="0" applyNumberFormat="1" applyFont="1" applyBorder="1" applyAlignment="1">
      <alignment horizontal="center" vertical="center"/>
    </xf>
    <xf numFmtId="43" fontId="48" fillId="0" borderId="19" xfId="1" applyFont="1" applyBorder="1" applyAlignment="1">
      <alignment vertical="center"/>
    </xf>
    <xf numFmtId="43" fontId="48" fillId="0" borderId="8" xfId="0" applyNumberFormat="1" applyFont="1" applyBorder="1" applyAlignment="1">
      <alignment horizontal="center" vertical="center"/>
    </xf>
    <xf numFmtId="0" fontId="48" fillId="0" borderId="7" xfId="0" applyFont="1" applyBorder="1" applyAlignment="1">
      <alignment horizontal="right" vertical="center"/>
    </xf>
    <xf numFmtId="43" fontId="48" fillId="0" borderId="7" xfId="1" applyFont="1" applyBorder="1" applyAlignment="1">
      <alignment horizontal="center" vertical="center"/>
    </xf>
    <xf numFmtId="43" fontId="48" fillId="0" borderId="7" xfId="0" applyNumberFormat="1" applyFont="1" applyBorder="1" applyAlignment="1">
      <alignment horizontal="center" vertical="center"/>
    </xf>
    <xf numFmtId="43" fontId="48" fillId="0" borderId="7" xfId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12" fillId="0" borderId="23" xfId="4" applyFont="1" applyFill="1" applyBorder="1" applyAlignment="1">
      <alignment vertical="top"/>
    </xf>
    <xf numFmtId="0" fontId="9" fillId="0" borderId="18" xfId="0" applyFont="1" applyFill="1" applyBorder="1" applyAlignment="1">
      <alignment vertical="top"/>
    </xf>
    <xf numFmtId="187" fontId="9" fillId="0" borderId="18" xfId="0" applyNumberFormat="1" applyFont="1" applyFill="1" applyBorder="1" applyAlignment="1">
      <alignment vertical="top"/>
    </xf>
    <xf numFmtId="0" fontId="9" fillId="0" borderId="18" xfId="0" applyFont="1" applyFill="1" applyBorder="1" applyAlignment="1">
      <alignment horizontal="center" vertical="top"/>
    </xf>
    <xf numFmtId="43" fontId="9" fillId="0" borderId="18" xfId="1" applyFont="1" applyFill="1" applyBorder="1" applyAlignment="1">
      <alignment vertical="top"/>
    </xf>
    <xf numFmtId="0" fontId="12" fillId="0" borderId="23" xfId="4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 vertical="top" wrapText="1"/>
    </xf>
    <xf numFmtId="0" fontId="12" fillId="0" borderId="23" xfId="4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/>
    </xf>
    <xf numFmtId="187" fontId="9" fillId="0" borderId="19" xfId="0" applyNumberFormat="1" applyFont="1" applyFill="1" applyBorder="1" applyAlignment="1">
      <alignment vertical="top"/>
    </xf>
    <xf numFmtId="0" fontId="9" fillId="0" borderId="19" xfId="0" applyFont="1" applyFill="1" applyBorder="1" applyAlignment="1">
      <alignment horizontal="center" vertical="top"/>
    </xf>
    <xf numFmtId="43" fontId="9" fillId="0" borderId="19" xfId="1" applyFont="1" applyFill="1" applyBorder="1" applyAlignment="1">
      <alignment vertical="top"/>
    </xf>
    <xf numFmtId="0" fontId="50" fillId="0" borderId="36" xfId="4" applyFont="1" applyFill="1" applyBorder="1" applyAlignment="1">
      <alignment horizontal="left" vertical="top"/>
    </xf>
    <xf numFmtId="188" fontId="50" fillId="0" borderId="37" xfId="4" applyNumberFormat="1" applyFont="1" applyFill="1" applyBorder="1" applyAlignment="1">
      <alignment horizontal="left" vertical="top"/>
    </xf>
    <xf numFmtId="0" fontId="50" fillId="0" borderId="21" xfId="4" applyFont="1" applyFill="1" applyBorder="1" applyAlignment="1">
      <alignment horizontal="left" vertical="top"/>
    </xf>
    <xf numFmtId="0" fontId="50" fillId="0" borderId="23" xfId="4" applyFont="1" applyFill="1" applyBorder="1" applyAlignment="1">
      <alignment vertical="top"/>
    </xf>
    <xf numFmtId="0" fontId="50" fillId="0" borderId="23" xfId="4" applyFont="1" applyFill="1" applyBorder="1" applyAlignment="1">
      <alignment horizontal="left" vertical="top"/>
    </xf>
    <xf numFmtId="0" fontId="50" fillId="0" borderId="23" xfId="4" applyFont="1" applyFill="1" applyBorder="1" applyAlignment="1">
      <alignment horizontal="left" vertical="top" wrapText="1"/>
    </xf>
    <xf numFmtId="0" fontId="50" fillId="0" borderId="23" xfId="4" applyFont="1" applyFill="1" applyBorder="1" applyAlignment="1">
      <alignment vertical="top" wrapText="1"/>
    </xf>
    <xf numFmtId="0" fontId="50" fillId="0" borderId="24" xfId="4" applyFont="1" applyFill="1" applyBorder="1" applyAlignment="1">
      <alignment horizontal="left" vertical="top"/>
    </xf>
    <xf numFmtId="0" fontId="50" fillId="0" borderId="37" xfId="4" applyFont="1" applyFill="1" applyBorder="1" applyAlignment="1">
      <alignment vertical="top"/>
    </xf>
    <xf numFmtId="0" fontId="9" fillId="0" borderId="20" xfId="0" applyFont="1" applyBorder="1" applyAlignment="1">
      <alignment vertical="top" wrapText="1"/>
    </xf>
    <xf numFmtId="187" fontId="13" fillId="0" borderId="20" xfId="6" applyFont="1" applyBorder="1" applyAlignment="1">
      <alignment vertical="top"/>
    </xf>
    <xf numFmtId="187" fontId="9" fillId="0" borderId="20" xfId="0" applyNumberFormat="1" applyFont="1" applyBorder="1" applyAlignment="1">
      <alignment vertical="top"/>
    </xf>
    <xf numFmtId="0" fontId="9" fillId="0" borderId="20" xfId="0" applyFont="1" applyBorder="1" applyAlignment="1">
      <alignment horizontal="center" vertical="top"/>
    </xf>
    <xf numFmtId="43" fontId="9" fillId="0" borderId="20" xfId="1" applyFont="1" applyBorder="1" applyAlignment="1">
      <alignment vertical="top"/>
    </xf>
    <xf numFmtId="0" fontId="9" fillId="0" borderId="18" xfId="0" applyFont="1" applyBorder="1" applyAlignment="1">
      <alignment vertical="top" wrapText="1"/>
    </xf>
    <xf numFmtId="187" fontId="13" fillId="0" borderId="18" xfId="7" applyFont="1" applyBorder="1" applyAlignment="1">
      <alignment vertical="top"/>
    </xf>
    <xf numFmtId="187" fontId="9" fillId="0" borderId="18" xfId="0" applyNumberFormat="1" applyFont="1" applyBorder="1" applyAlignment="1">
      <alignment vertical="top"/>
    </xf>
    <xf numFmtId="0" fontId="9" fillId="0" borderId="18" xfId="0" applyFont="1" applyBorder="1" applyAlignment="1">
      <alignment horizontal="center" vertical="top"/>
    </xf>
    <xf numFmtId="43" fontId="9" fillId="0" borderId="18" xfId="1" applyFont="1" applyBorder="1" applyAlignment="1">
      <alignment vertical="top"/>
    </xf>
    <xf numFmtId="187" fontId="13" fillId="0" borderId="18" xfId="8" applyFont="1" applyBorder="1" applyAlignment="1">
      <alignment vertical="top"/>
    </xf>
    <xf numFmtId="187" fontId="13" fillId="0" borderId="18" xfId="9" applyFont="1" applyBorder="1" applyAlignment="1">
      <alignment vertical="top"/>
    </xf>
    <xf numFmtId="0" fontId="12" fillId="0" borderId="35" xfId="4" applyFont="1" applyFill="1" applyBorder="1" applyAlignment="1">
      <alignment horizontal="center" vertical="top"/>
    </xf>
    <xf numFmtId="0" fontId="12" fillId="0" borderId="38" xfId="4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/>
    </xf>
    <xf numFmtId="187" fontId="9" fillId="0" borderId="20" xfId="0" applyNumberFormat="1" applyFont="1" applyFill="1" applyBorder="1" applyAlignment="1">
      <alignment vertical="top"/>
    </xf>
    <xf numFmtId="0" fontId="9" fillId="0" borderId="20" xfId="0" applyFont="1" applyFill="1" applyBorder="1" applyAlignment="1">
      <alignment horizontal="center" vertical="top"/>
    </xf>
    <xf numFmtId="43" fontId="9" fillId="0" borderId="20" xfId="1" applyFont="1" applyFill="1" applyBorder="1" applyAlignment="1">
      <alignment vertical="top"/>
    </xf>
    <xf numFmtId="0" fontId="12" fillId="0" borderId="21" xfId="4" applyFont="1" applyFill="1" applyBorder="1" applyAlignment="1">
      <alignment horizontal="center" vertical="top"/>
    </xf>
    <xf numFmtId="0" fontId="12" fillId="0" borderId="26" xfId="4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15" fillId="0" borderId="0" xfId="2" applyFont="1" applyAlignment="1">
      <alignment wrapText="1"/>
    </xf>
    <xf numFmtId="0" fontId="17" fillId="0" borderId="0" xfId="2" applyFont="1" applyFill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36" fillId="0" borderId="8" xfId="2" applyFont="1" applyFill="1" applyBorder="1" applyAlignment="1">
      <alignment horizontal="center" vertical="center"/>
    </xf>
    <xf numFmtId="187" fontId="29" fillId="0" borderId="14" xfId="6" applyFont="1" applyFill="1" applyBorder="1" applyAlignment="1">
      <alignment horizontal="center" vertical="center"/>
    </xf>
    <xf numFmtId="187" fontId="29" fillId="0" borderId="10" xfId="6" applyFont="1" applyFill="1" applyBorder="1" applyAlignment="1">
      <alignment horizontal="center" vertical="center" wrapText="1"/>
    </xf>
    <xf numFmtId="187" fontId="29" fillId="0" borderId="10" xfId="6" applyFont="1" applyFill="1" applyBorder="1" applyAlignment="1">
      <alignment horizontal="center" vertical="center"/>
    </xf>
    <xf numFmtId="187" fontId="29" fillId="0" borderId="15" xfId="6" applyFont="1" applyFill="1" applyBorder="1" applyAlignment="1">
      <alignment horizontal="center" vertical="center"/>
    </xf>
    <xf numFmtId="0" fontId="29" fillId="0" borderId="10" xfId="2" applyFont="1" applyFill="1" applyBorder="1" applyAlignment="1">
      <alignment horizontal="center" vertical="center"/>
    </xf>
    <xf numFmtId="0" fontId="29" fillId="0" borderId="14" xfId="2" applyFont="1" applyFill="1" applyBorder="1" applyAlignment="1">
      <alignment horizontal="center" vertical="center"/>
    </xf>
    <xf numFmtId="187" fontId="29" fillId="0" borderId="27" xfId="6" applyFont="1" applyFill="1" applyBorder="1" applyAlignment="1">
      <alignment horizontal="center" vertical="center"/>
    </xf>
    <xf numFmtId="187" fontId="29" fillId="0" borderId="8" xfId="6" applyFont="1" applyFill="1" applyBorder="1" applyAlignment="1">
      <alignment horizontal="center" vertical="center"/>
    </xf>
    <xf numFmtId="187" fontId="29" fillId="0" borderId="28" xfId="6" applyFont="1" applyFill="1" applyBorder="1" applyAlignment="1">
      <alignment horizontal="center" vertical="center"/>
    </xf>
    <xf numFmtId="0" fontId="29" fillId="0" borderId="8" xfId="2" applyFont="1" applyFill="1" applyBorder="1" applyAlignment="1">
      <alignment horizontal="center" vertical="center"/>
    </xf>
    <xf numFmtId="187" fontId="29" fillId="0" borderId="8" xfId="6" applyFont="1" applyFill="1" applyBorder="1" applyAlignment="1">
      <alignment horizontal="center" vertical="center" wrapText="1"/>
    </xf>
    <xf numFmtId="0" fontId="29" fillId="0" borderId="8" xfId="2" applyFont="1" applyFill="1" applyBorder="1" applyAlignment="1">
      <alignment horizontal="center" vertical="center" wrapText="1"/>
    </xf>
    <xf numFmtId="0" fontId="29" fillId="0" borderId="27" xfId="2" applyFont="1" applyFill="1" applyBorder="1" applyAlignment="1">
      <alignment horizontal="center" vertical="center" wrapText="1"/>
    </xf>
    <xf numFmtId="0" fontId="29" fillId="0" borderId="28" xfId="2" applyFont="1" applyFill="1" applyBorder="1" applyAlignment="1">
      <alignment horizontal="center" vertical="center" wrapText="1"/>
    </xf>
    <xf numFmtId="0" fontId="29" fillId="0" borderId="18" xfId="2" applyFont="1" applyFill="1" applyBorder="1" applyAlignment="1">
      <alignment horizontal="center" vertical="center"/>
    </xf>
    <xf numFmtId="0" fontId="29" fillId="0" borderId="18" xfId="2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187" fontId="29" fillId="0" borderId="18" xfId="6" applyFont="1" applyFill="1" applyBorder="1" applyAlignment="1">
      <alignment horizontal="center" vertical="center"/>
    </xf>
    <xf numFmtId="187" fontId="29" fillId="0" borderId="18" xfId="6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2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52" fillId="0" borderId="10" xfId="2" applyFont="1" applyFill="1" applyBorder="1" applyAlignment="1">
      <alignment horizontal="center" vertical="center"/>
    </xf>
    <xf numFmtId="1" fontId="29" fillId="0" borderId="10" xfId="6" applyNumberFormat="1" applyFont="1" applyFill="1" applyBorder="1" applyAlignment="1">
      <alignment horizontal="center" vertical="center"/>
    </xf>
    <xf numFmtId="0" fontId="36" fillId="0" borderId="7" xfId="2" applyFont="1" applyFill="1" applyBorder="1" applyAlignment="1">
      <alignment horizontal="center" vertical="center"/>
    </xf>
    <xf numFmtId="187" fontId="29" fillId="0" borderId="7" xfId="6" applyFont="1" applyFill="1" applyBorder="1" applyAlignment="1">
      <alignment vertical="center"/>
    </xf>
    <xf numFmtId="0" fontId="29" fillId="0" borderId="10" xfId="2" applyFont="1" applyFill="1" applyBorder="1" applyAlignment="1">
      <alignment horizontal="center" vertical="center" shrinkToFit="1"/>
    </xf>
    <xf numFmtId="187" fontId="29" fillId="0" borderId="18" xfId="6" applyFont="1" applyFill="1" applyBorder="1" applyAlignment="1">
      <alignment vertical="center" shrinkToFit="1"/>
    </xf>
    <xf numFmtId="187" fontId="29" fillId="0" borderId="21" xfId="6" applyFont="1" applyFill="1" applyBorder="1" applyAlignment="1">
      <alignment vertical="center" shrinkToFit="1"/>
    </xf>
    <xf numFmtId="187" fontId="29" fillId="0" borderId="18" xfId="0" applyNumberFormat="1" applyFont="1" applyFill="1" applyBorder="1" applyAlignment="1">
      <alignment vertical="center" shrinkToFit="1"/>
    </xf>
    <xf numFmtId="0" fontId="29" fillId="0" borderId="18" xfId="0" applyFont="1" applyFill="1" applyBorder="1" applyAlignment="1">
      <alignment horizontal="center" vertical="center" shrinkToFit="1"/>
    </xf>
    <xf numFmtId="43" fontId="29" fillId="0" borderId="18" xfId="1" applyFont="1" applyFill="1" applyBorder="1" applyAlignment="1">
      <alignment vertical="center" shrinkToFit="1"/>
    </xf>
    <xf numFmtId="187" fontId="29" fillId="0" borderId="21" xfId="6" applyNumberFormat="1" applyFont="1" applyFill="1" applyBorder="1" applyAlignment="1">
      <alignment vertical="center" shrinkToFit="1"/>
    </xf>
    <xf numFmtId="187" fontId="29" fillId="0" borderId="23" xfId="6" applyFont="1" applyFill="1" applyBorder="1" applyAlignment="1">
      <alignment vertical="center" shrinkToFit="1"/>
    </xf>
    <xf numFmtId="187" fontId="29" fillId="0" borderId="18" xfId="6" applyFont="1" applyFill="1" applyBorder="1" applyAlignment="1">
      <alignment horizontal="center" vertical="center" shrinkToFit="1"/>
    </xf>
    <xf numFmtId="187" fontId="29" fillId="0" borderId="19" xfId="6" applyFont="1" applyFill="1" applyBorder="1" applyAlignment="1">
      <alignment vertical="center" shrinkToFit="1"/>
    </xf>
    <xf numFmtId="187" fontId="29" fillId="0" borderId="19" xfId="0" applyNumberFormat="1" applyFont="1" applyFill="1" applyBorder="1" applyAlignment="1">
      <alignment vertical="center" shrinkToFit="1"/>
    </xf>
    <xf numFmtId="43" fontId="29" fillId="0" borderId="19" xfId="1" applyFont="1" applyFill="1" applyBorder="1" applyAlignment="1">
      <alignment vertical="center" shrinkToFit="1"/>
    </xf>
    <xf numFmtId="187" fontId="29" fillId="0" borderId="24" xfId="6" applyNumberFormat="1" applyFont="1" applyFill="1" applyBorder="1" applyAlignment="1">
      <alignment vertical="center" shrinkToFit="1"/>
    </xf>
    <xf numFmtId="187" fontId="29" fillId="0" borderId="26" xfId="6" applyFont="1" applyFill="1" applyBorder="1" applyAlignment="1">
      <alignment vertical="center" shrinkToFit="1"/>
    </xf>
    <xf numFmtId="0" fontId="52" fillId="0" borderId="10" xfId="2" applyFont="1" applyFill="1" applyBorder="1" applyAlignment="1">
      <alignment horizontal="center" vertical="center" shrinkToFit="1"/>
    </xf>
    <xf numFmtId="187" fontId="29" fillId="0" borderId="10" xfId="6" applyFont="1" applyFill="1" applyBorder="1" applyAlignment="1">
      <alignment vertical="center" shrinkToFit="1"/>
    </xf>
    <xf numFmtId="187" fontId="29" fillId="0" borderId="14" xfId="6" applyNumberFormat="1" applyFont="1" applyFill="1" applyBorder="1" applyAlignment="1">
      <alignment vertical="center" shrinkToFit="1"/>
    </xf>
    <xf numFmtId="187" fontId="29" fillId="0" borderId="15" xfId="6" applyFont="1" applyFill="1" applyBorder="1" applyAlignment="1">
      <alignment vertical="center" shrinkToFit="1"/>
    </xf>
    <xf numFmtId="187" fontId="29" fillId="0" borderId="7" xfId="6" applyFont="1" applyFill="1" applyBorder="1" applyAlignment="1">
      <alignment vertical="center" shrinkToFit="1"/>
    </xf>
    <xf numFmtId="0" fontId="9" fillId="0" borderId="0" xfId="0" applyFont="1" applyAlignment="1">
      <alignment horizontal="right"/>
    </xf>
    <xf numFmtId="0" fontId="13" fillId="0" borderId="7" xfId="2" applyFont="1" applyFill="1" applyBorder="1" applyAlignment="1">
      <alignment horizontal="center" vertical="center" wrapText="1"/>
    </xf>
    <xf numFmtId="0" fontId="12" fillId="0" borderId="20" xfId="2" applyFont="1" applyFill="1" applyBorder="1" applyAlignment="1">
      <alignment horizontal="left" vertical="center"/>
    </xf>
    <xf numFmtId="43" fontId="12" fillId="0" borderId="20" xfId="1" applyFont="1" applyFill="1" applyBorder="1" applyAlignment="1">
      <alignment horizontal="center" vertical="center"/>
    </xf>
    <xf numFmtId="187" fontId="12" fillId="0" borderId="20" xfId="6" applyFont="1" applyFill="1" applyBorder="1" applyAlignment="1">
      <alignment vertical="center"/>
    </xf>
    <xf numFmtId="0" fontId="12" fillId="0" borderId="18" xfId="2" applyFont="1" applyFill="1" applyBorder="1" applyAlignment="1">
      <alignment vertical="center"/>
    </xf>
    <xf numFmtId="43" fontId="12" fillId="0" borderId="18" xfId="1" applyFont="1" applyFill="1" applyBorder="1" applyAlignment="1">
      <alignment horizontal="center" vertical="center"/>
    </xf>
    <xf numFmtId="187" fontId="12" fillId="0" borderId="18" xfId="6" applyFont="1" applyFill="1" applyBorder="1" applyAlignment="1">
      <alignment vertical="center"/>
    </xf>
    <xf numFmtId="0" fontId="12" fillId="0" borderId="18" xfId="2" applyFont="1" applyFill="1" applyBorder="1" applyAlignment="1">
      <alignment vertical="center" wrapText="1"/>
    </xf>
    <xf numFmtId="43" fontId="12" fillId="0" borderId="18" xfId="1" applyFont="1" applyFill="1" applyBorder="1" applyAlignment="1">
      <alignment horizontal="center" vertical="center" wrapText="1"/>
    </xf>
    <xf numFmtId="0" fontId="12" fillId="0" borderId="18" xfId="2" applyFont="1" applyFill="1" applyBorder="1" applyAlignment="1">
      <alignment horizontal="left" vertical="center" wrapText="1"/>
    </xf>
    <xf numFmtId="187" fontId="12" fillId="0" borderId="18" xfId="6" applyFont="1" applyFill="1" applyBorder="1" applyAlignment="1">
      <alignment horizontal="right" vertical="center"/>
    </xf>
    <xf numFmtId="187" fontId="12" fillId="0" borderId="19" xfId="6" applyFont="1" applyFill="1" applyBorder="1" applyAlignment="1">
      <alignment vertical="center"/>
    </xf>
    <xf numFmtId="187" fontId="38" fillId="0" borderId="20" xfId="6" applyFont="1" applyFill="1" applyBorder="1" applyAlignment="1">
      <alignment vertical="center"/>
    </xf>
    <xf numFmtId="0" fontId="38" fillId="0" borderId="18" xfId="2" applyFont="1" applyFill="1" applyBorder="1" applyAlignment="1">
      <alignment horizontal="left" vertical="top" wrapText="1"/>
    </xf>
    <xf numFmtId="187" fontId="38" fillId="0" borderId="18" xfId="6" applyFont="1" applyFill="1" applyBorder="1" applyAlignment="1">
      <alignment vertical="center"/>
    </xf>
    <xf numFmtId="187" fontId="38" fillId="0" borderId="19" xfId="6" applyFont="1" applyFill="1" applyBorder="1" applyAlignment="1">
      <alignment vertical="center"/>
    </xf>
    <xf numFmtId="0" fontId="38" fillId="0" borderId="20" xfId="2" applyFont="1" applyFill="1" applyBorder="1" applyAlignment="1">
      <alignment horizontal="left" vertical="top" wrapText="1"/>
    </xf>
    <xf numFmtId="0" fontId="38" fillId="0" borderId="18" xfId="2" applyFont="1" applyFill="1" applyBorder="1" applyAlignment="1">
      <alignment vertical="center" wrapText="1"/>
    </xf>
    <xf numFmtId="0" fontId="38" fillId="0" borderId="18" xfId="2" applyFont="1" applyFill="1" applyBorder="1" applyAlignment="1">
      <alignment horizontal="left" vertical="center" wrapText="1"/>
    </xf>
    <xf numFmtId="0" fontId="38" fillId="0" borderId="19" xfId="2" applyFont="1" applyFill="1" applyBorder="1" applyAlignment="1">
      <alignment horizontal="left" vertical="top" wrapText="1"/>
    </xf>
    <xf numFmtId="0" fontId="4" fillId="0" borderId="8" xfId="2" applyFont="1" applyFill="1" applyBorder="1" applyAlignment="1">
      <alignment horizontal="center" vertical="center" wrapText="1"/>
    </xf>
    <xf numFmtId="1" fontId="29" fillId="0" borderId="18" xfId="6" applyNumberFormat="1" applyFont="1" applyFill="1" applyBorder="1" applyAlignment="1">
      <alignment horizontal="center" vertical="center" shrinkToFit="1"/>
    </xf>
    <xf numFmtId="1" fontId="29" fillId="0" borderId="19" xfId="6" applyNumberFormat="1" applyFont="1" applyFill="1" applyBorder="1" applyAlignment="1">
      <alignment horizontal="center" vertical="center" shrinkToFit="1"/>
    </xf>
    <xf numFmtId="1" fontId="29" fillId="0" borderId="10" xfId="6" applyNumberFormat="1" applyFont="1" applyFill="1" applyBorder="1" applyAlignment="1">
      <alignment horizontal="center" vertical="center" shrinkToFit="1"/>
    </xf>
    <xf numFmtId="0" fontId="29" fillId="0" borderId="8" xfId="2" applyFont="1" applyFill="1" applyBorder="1" applyAlignment="1">
      <alignment horizontal="center" vertical="center" shrinkToFit="1"/>
    </xf>
    <xf numFmtId="187" fontId="29" fillId="0" borderId="0" xfId="6" applyFont="1" applyFill="1" applyBorder="1" applyAlignment="1">
      <alignment vertical="center"/>
    </xf>
    <xf numFmtId="187" fontId="29" fillId="0" borderId="0" xfId="6" applyFont="1" applyFill="1" applyAlignment="1">
      <alignment vertical="center"/>
    </xf>
    <xf numFmtId="0" fontId="29" fillId="0" borderId="0" xfId="2" applyFont="1" applyFill="1" applyAlignment="1">
      <alignment vertical="center"/>
    </xf>
    <xf numFmtId="187" fontId="29" fillId="0" borderId="11" xfId="6" applyFont="1" applyFill="1" applyBorder="1" applyAlignment="1">
      <alignment horizontal="center" vertical="center" wrapText="1"/>
    </xf>
    <xf numFmtId="187" fontId="29" fillId="0" borderId="7" xfId="6" applyFont="1" applyFill="1" applyBorder="1" applyAlignment="1">
      <alignment horizontal="center" vertical="center" wrapText="1"/>
    </xf>
    <xf numFmtId="0" fontId="29" fillId="0" borderId="11" xfId="2" applyFont="1" applyFill="1" applyBorder="1" applyAlignment="1">
      <alignment horizontal="center" vertical="center" wrapText="1"/>
    </xf>
    <xf numFmtId="0" fontId="29" fillId="0" borderId="7" xfId="2" applyFont="1" applyFill="1" applyBorder="1" applyAlignment="1">
      <alignment horizontal="center" vertical="center" shrinkToFit="1"/>
    </xf>
    <xf numFmtId="187" fontId="29" fillId="0" borderId="7" xfId="6" applyFont="1" applyFill="1" applyBorder="1" applyAlignment="1">
      <alignment horizontal="center" vertical="center" shrinkToFit="1"/>
    </xf>
    <xf numFmtId="187" fontId="29" fillId="0" borderId="13" xfId="6" applyFont="1" applyFill="1" applyBorder="1" applyAlignment="1">
      <alignment horizontal="center" vertical="center" shrinkToFit="1"/>
    </xf>
    <xf numFmtId="0" fontId="29" fillId="0" borderId="34" xfId="2" applyFont="1" applyFill="1" applyBorder="1" applyAlignment="1">
      <alignment horizontal="center" vertical="center" wrapText="1"/>
    </xf>
    <xf numFmtId="187" fontId="29" fillId="0" borderId="34" xfId="6" applyFont="1" applyFill="1" applyBorder="1" applyAlignment="1">
      <alignment vertical="center" shrinkToFit="1"/>
    </xf>
    <xf numFmtId="1" fontId="29" fillId="0" borderId="34" xfId="6" applyNumberFormat="1" applyFont="1" applyFill="1" applyBorder="1" applyAlignment="1">
      <alignment horizontal="center" vertical="center" shrinkToFit="1"/>
    </xf>
    <xf numFmtId="187" fontId="29" fillId="0" borderId="34" xfId="0" applyNumberFormat="1" applyFont="1" applyFill="1" applyBorder="1" applyAlignment="1">
      <alignment vertical="center" shrinkToFit="1"/>
    </xf>
    <xf numFmtId="0" fontId="25" fillId="0" borderId="36" xfId="2" applyFont="1" applyFill="1" applyBorder="1" applyAlignment="1">
      <alignment vertical="center"/>
    </xf>
    <xf numFmtId="0" fontId="29" fillId="0" borderId="39" xfId="2" applyFont="1" applyFill="1" applyBorder="1" applyAlignment="1">
      <alignment horizontal="left" vertical="center" wrapText="1"/>
    </xf>
    <xf numFmtId="0" fontId="25" fillId="0" borderId="35" xfId="2" applyFont="1" applyFill="1" applyBorder="1" applyAlignment="1">
      <alignment horizontal="left" vertical="center"/>
    </xf>
    <xf numFmtId="43" fontId="15" fillId="0" borderId="0" xfId="1" applyFont="1"/>
    <xf numFmtId="43" fontId="15" fillId="0" borderId="0" xfId="1" applyFont="1" applyFill="1"/>
    <xf numFmtId="43" fontId="15" fillId="0" borderId="0" xfId="2" applyNumberFormat="1" applyFont="1"/>
    <xf numFmtId="43" fontId="15" fillId="0" borderId="0" xfId="2" applyNumberFormat="1" applyFont="1" applyFill="1"/>
    <xf numFmtId="187" fontId="4" fillId="0" borderId="7" xfId="2" applyNumberFormat="1" applyFont="1" applyFill="1" applyBorder="1" applyAlignment="1">
      <alignment horizontal="right" wrapText="1"/>
    </xf>
    <xf numFmtId="187" fontId="6" fillId="0" borderId="7" xfId="0" applyNumberFormat="1" applyFont="1" applyBorder="1"/>
    <xf numFmtId="0" fontId="50" fillId="0" borderId="37" xfId="4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right" vertical="top"/>
    </xf>
    <xf numFmtId="187" fontId="13" fillId="0" borderId="7" xfId="5" applyFont="1" applyFill="1" applyBorder="1" applyAlignment="1">
      <alignment horizontal="center" vertical="top"/>
    </xf>
    <xf numFmtId="187" fontId="9" fillId="0" borderId="7" xfId="0" applyNumberFormat="1" applyFont="1" applyBorder="1"/>
    <xf numFmtId="0" fontId="9" fillId="0" borderId="7" xfId="0" applyFont="1" applyBorder="1"/>
    <xf numFmtId="0" fontId="9" fillId="0" borderId="11" xfId="0" applyFont="1" applyBorder="1" applyAlignment="1">
      <alignment horizontal="right"/>
    </xf>
    <xf numFmtId="187" fontId="0" fillId="0" borderId="7" xfId="0" applyNumberFormat="1" applyFont="1" applyBorder="1"/>
    <xf numFmtId="0" fontId="0" fillId="0" borderId="0" xfId="0" applyFont="1"/>
    <xf numFmtId="187" fontId="53" fillId="0" borderId="0" xfId="6" applyFont="1" applyFill="1"/>
    <xf numFmtId="0" fontId="53" fillId="0" borderId="0" xfId="2" applyFont="1" applyFill="1"/>
    <xf numFmtId="0" fontId="53" fillId="0" borderId="0" xfId="2" applyFont="1" applyFill="1" applyAlignment="1">
      <alignment horizontal="left"/>
    </xf>
    <xf numFmtId="0" fontId="53" fillId="0" borderId="0" xfId="2" applyFont="1" applyFill="1" applyAlignment="1">
      <alignment horizontal="center"/>
    </xf>
    <xf numFmtId="0" fontId="38" fillId="0" borderId="0" xfId="2" applyFont="1" applyFill="1" applyAlignment="1">
      <alignment horizontal="center"/>
    </xf>
    <xf numFmtId="0" fontId="38" fillId="0" borderId="0" xfId="2" applyFont="1" applyFill="1" applyAlignment="1">
      <alignment wrapText="1"/>
    </xf>
    <xf numFmtId="187" fontId="38" fillId="0" borderId="0" xfId="6" applyFont="1" applyFill="1"/>
    <xf numFmtId="187" fontId="56" fillId="0" borderId="0" xfId="6" applyFont="1" applyFill="1" applyAlignment="1">
      <alignment vertical="center"/>
    </xf>
    <xf numFmtId="0" fontId="56" fillId="0" borderId="0" xfId="2" applyFont="1" applyFill="1" applyAlignment="1">
      <alignment vertical="center"/>
    </xf>
    <xf numFmtId="0" fontId="57" fillId="0" borderId="7" xfId="2" applyFont="1" applyFill="1" applyBorder="1" applyAlignment="1">
      <alignment horizontal="center" vertical="center" wrapText="1"/>
    </xf>
    <xf numFmtId="0" fontId="57" fillId="0" borderId="11" xfId="2" applyFont="1" applyFill="1" applyBorder="1" applyAlignment="1">
      <alignment horizontal="center" vertical="center" wrapText="1"/>
    </xf>
    <xf numFmtId="0" fontId="57" fillId="0" borderId="7" xfId="2" applyFont="1" applyFill="1" applyBorder="1" applyAlignment="1">
      <alignment horizontal="center" vertical="center"/>
    </xf>
    <xf numFmtId="0" fontId="57" fillId="0" borderId="13" xfId="2" applyFont="1" applyFill="1" applyBorder="1" applyAlignment="1">
      <alignment horizontal="center" vertical="center" wrapText="1"/>
    </xf>
    <xf numFmtId="187" fontId="58" fillId="0" borderId="0" xfId="6" applyFont="1" applyFill="1" applyAlignment="1">
      <alignment horizontal="center" vertical="center"/>
    </xf>
    <xf numFmtId="0" fontId="58" fillId="0" borderId="0" xfId="2" applyFont="1" applyFill="1" applyAlignment="1">
      <alignment horizontal="center" vertical="center"/>
    </xf>
    <xf numFmtId="0" fontId="59" fillId="0" borderId="20" xfId="2" applyFont="1" applyFill="1" applyBorder="1" applyAlignment="1">
      <alignment vertical="center"/>
    </xf>
    <xf numFmtId="0" fontId="59" fillId="0" borderId="20" xfId="2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187" fontId="59" fillId="0" borderId="0" xfId="6" applyFont="1" applyFill="1" applyBorder="1" applyAlignment="1">
      <alignment vertical="center"/>
    </xf>
    <xf numFmtId="0" fontId="59" fillId="0" borderId="0" xfId="2" applyFont="1" applyFill="1" applyBorder="1" applyAlignment="1">
      <alignment vertical="center"/>
    </xf>
    <xf numFmtId="0" fontId="50" fillId="0" borderId="18" xfId="2" applyFont="1" applyFill="1" applyBorder="1" applyAlignment="1">
      <alignment vertical="center"/>
    </xf>
    <xf numFmtId="0" fontId="48" fillId="0" borderId="18" xfId="0" applyFont="1" applyFill="1" applyBorder="1" applyAlignment="1">
      <alignment horizontal="center" vertical="center"/>
    </xf>
    <xf numFmtId="187" fontId="50" fillId="0" borderId="0" xfId="6" applyFont="1" applyFill="1" applyAlignment="1">
      <alignment vertical="center"/>
    </xf>
    <xf numFmtId="0" fontId="50" fillId="0" borderId="0" xfId="2" applyFont="1" applyFill="1" applyAlignment="1">
      <alignment vertical="center"/>
    </xf>
    <xf numFmtId="0" fontId="59" fillId="0" borderId="18" xfId="2" applyFont="1" applyFill="1" applyBorder="1" applyAlignment="1">
      <alignment vertical="top" wrapText="1"/>
    </xf>
    <xf numFmtId="0" fontId="59" fillId="0" borderId="18" xfId="2" applyFont="1" applyFill="1" applyBorder="1" applyAlignment="1">
      <alignment horizontal="center" vertical="center"/>
    </xf>
    <xf numFmtId="187" fontId="59" fillId="0" borderId="0" xfId="6" applyFont="1" applyFill="1" applyBorder="1" applyAlignment="1">
      <alignment vertical="top"/>
    </xf>
    <xf numFmtId="0" fontId="59" fillId="0" borderId="0" xfId="2" applyFont="1" applyFill="1" applyBorder="1" applyAlignment="1">
      <alignment vertical="top"/>
    </xf>
    <xf numFmtId="0" fontId="59" fillId="0" borderId="7" xfId="2" applyFont="1" applyFill="1" applyBorder="1" applyAlignment="1">
      <alignment horizontal="right" vertical="center"/>
    </xf>
    <xf numFmtId="187" fontId="59" fillId="0" borderId="0" xfId="6" applyFont="1" applyFill="1" applyAlignment="1">
      <alignment vertical="center"/>
    </xf>
    <xf numFmtId="0" fontId="59" fillId="0" borderId="0" xfId="2" applyFont="1" applyFill="1" applyAlignment="1">
      <alignment vertical="center"/>
    </xf>
    <xf numFmtId="187" fontId="59" fillId="0" borderId="20" xfId="6" applyFont="1" applyFill="1" applyBorder="1" applyAlignment="1">
      <alignment vertical="center" shrinkToFit="1"/>
    </xf>
    <xf numFmtId="187" fontId="59" fillId="0" borderId="20" xfId="6" applyFont="1" applyFill="1" applyBorder="1" applyAlignment="1">
      <alignment horizontal="center" vertical="center" shrinkToFit="1"/>
    </xf>
    <xf numFmtId="43" fontId="60" fillId="0" borderId="20" xfId="2" applyNumberFormat="1" applyFont="1" applyFill="1" applyBorder="1" applyAlignment="1">
      <alignment vertical="center" shrinkToFit="1"/>
    </xf>
    <xf numFmtId="0" fontId="59" fillId="0" borderId="20" xfId="6" applyNumberFormat="1" applyFont="1" applyFill="1" applyBorder="1" applyAlignment="1">
      <alignment horizontal="center" vertical="center" shrinkToFit="1"/>
    </xf>
    <xf numFmtId="187" fontId="50" fillId="0" borderId="18" xfId="6" applyFont="1" applyFill="1" applyBorder="1" applyAlignment="1">
      <alignment vertical="center" shrinkToFit="1"/>
    </xf>
    <xf numFmtId="187" fontId="50" fillId="0" borderId="18" xfId="6" applyFont="1" applyFill="1" applyBorder="1" applyAlignment="1">
      <alignment horizontal="center" vertical="center" shrinkToFit="1"/>
    </xf>
    <xf numFmtId="43" fontId="50" fillId="0" borderId="18" xfId="2" applyNumberFormat="1" applyFont="1" applyFill="1" applyBorder="1" applyAlignment="1">
      <alignment horizontal="center" vertical="center" shrinkToFit="1"/>
    </xf>
    <xf numFmtId="0" fontId="50" fillId="0" borderId="18" xfId="6" applyNumberFormat="1" applyFont="1" applyFill="1" applyBorder="1" applyAlignment="1">
      <alignment horizontal="center" vertical="center" shrinkToFit="1"/>
    </xf>
    <xf numFmtId="187" fontId="59" fillId="0" borderId="18" xfId="6" applyFont="1" applyFill="1" applyBorder="1" applyAlignment="1">
      <alignment vertical="center" shrinkToFit="1"/>
    </xf>
    <xf numFmtId="187" fontId="59" fillId="0" borderId="18" xfId="6" applyFont="1" applyFill="1" applyBorder="1" applyAlignment="1">
      <alignment horizontal="center" vertical="center" shrinkToFit="1"/>
    </xf>
    <xf numFmtId="43" fontId="60" fillId="0" borderId="18" xfId="2" applyNumberFormat="1" applyFont="1" applyFill="1" applyBorder="1" applyAlignment="1">
      <alignment horizontal="center" vertical="center" shrinkToFit="1"/>
    </xf>
    <xf numFmtId="0" fontId="59" fillId="0" borderId="18" xfId="6" applyNumberFormat="1" applyFont="1" applyFill="1" applyBorder="1" applyAlignment="1">
      <alignment horizontal="center" vertical="center" shrinkToFit="1"/>
    </xf>
    <xf numFmtId="187" fontId="59" fillId="0" borderId="19" xfId="6" applyFont="1" applyFill="1" applyBorder="1" applyAlignment="1">
      <alignment horizontal="center" vertical="center" shrinkToFit="1"/>
    </xf>
    <xf numFmtId="187" fontId="59" fillId="0" borderId="19" xfId="6" applyFont="1" applyFill="1" applyBorder="1" applyAlignment="1">
      <alignment vertical="center" shrinkToFit="1"/>
    </xf>
    <xf numFmtId="187" fontId="59" fillId="0" borderId="7" xfId="6" applyFont="1" applyFill="1" applyBorder="1" applyAlignment="1">
      <alignment vertical="center" shrinkToFit="1"/>
    </xf>
    <xf numFmtId="187" fontId="59" fillId="0" borderId="11" xfId="6" applyFont="1" applyFill="1" applyBorder="1" applyAlignment="1">
      <alignment vertical="center" shrinkToFit="1"/>
    </xf>
    <xf numFmtId="187" fontId="59" fillId="0" borderId="7" xfId="6" applyFont="1" applyFill="1" applyBorder="1" applyAlignment="1">
      <alignment horizontal="center" vertical="center" shrinkToFit="1"/>
    </xf>
    <xf numFmtId="187" fontId="59" fillId="0" borderId="13" xfId="6" applyFont="1" applyFill="1" applyBorder="1" applyAlignment="1">
      <alignment vertical="center" shrinkToFit="1"/>
    </xf>
    <xf numFmtId="0" fontId="59" fillId="0" borderId="20" xfId="2" applyFont="1" applyFill="1" applyBorder="1" applyAlignment="1">
      <alignment horizontal="left" vertical="center" wrapText="1"/>
    </xf>
    <xf numFmtId="0" fontId="59" fillId="0" borderId="20" xfId="2" applyFont="1" applyFill="1" applyBorder="1" applyAlignment="1">
      <alignment horizontal="center" vertical="center" wrapText="1"/>
    </xf>
    <xf numFmtId="0" fontId="59" fillId="0" borderId="18" xfId="2" applyFont="1" applyFill="1" applyBorder="1" applyAlignment="1">
      <alignment horizontal="left" vertical="top" wrapText="1"/>
    </xf>
    <xf numFmtId="0" fontId="59" fillId="0" borderId="18" xfId="2" applyFont="1" applyFill="1" applyBorder="1" applyAlignment="1">
      <alignment horizontal="left" vertical="center" wrapText="1"/>
    </xf>
    <xf numFmtId="187" fontId="59" fillId="0" borderId="18" xfId="6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59" fillId="0" borderId="19" xfId="2" applyFont="1" applyFill="1" applyBorder="1" applyAlignment="1">
      <alignment vertical="center" wrapText="1"/>
    </xf>
    <xf numFmtId="0" fontId="59" fillId="0" borderId="19" xfId="2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61" fillId="0" borderId="7" xfId="2" applyFont="1" applyFill="1" applyBorder="1" applyAlignment="1">
      <alignment horizontal="center" vertical="center"/>
    </xf>
    <xf numFmtId="187" fontId="59" fillId="0" borderId="7" xfId="2" applyNumberFormat="1" applyFont="1" applyFill="1" applyBorder="1" applyAlignment="1">
      <alignment horizontal="center" vertical="center"/>
    </xf>
    <xf numFmtId="43" fontId="59" fillId="0" borderId="20" xfId="2" applyNumberFormat="1" applyFont="1" applyFill="1" applyBorder="1" applyAlignment="1">
      <alignment horizontal="right" vertical="center" shrinkToFit="1"/>
    </xf>
    <xf numFmtId="43" fontId="59" fillId="0" borderId="18" xfId="2" applyNumberFormat="1" applyFont="1" applyFill="1" applyBorder="1" applyAlignment="1">
      <alignment horizontal="right" vertical="center" shrinkToFit="1"/>
    </xf>
    <xf numFmtId="43" fontId="59" fillId="0" borderId="19" xfId="2" applyNumberFormat="1" applyFont="1" applyFill="1" applyBorder="1" applyAlignment="1">
      <alignment horizontal="right" vertical="center" shrinkToFit="1"/>
    </xf>
    <xf numFmtId="187" fontId="59" fillId="0" borderId="7" xfId="2" applyNumberFormat="1" applyFont="1" applyFill="1" applyBorder="1" applyAlignment="1">
      <alignment vertical="center" shrinkToFit="1"/>
    </xf>
    <xf numFmtId="43" fontId="59" fillId="0" borderId="7" xfId="2" applyNumberFormat="1" applyFont="1" applyFill="1" applyBorder="1" applyAlignment="1">
      <alignment vertical="center" shrinkToFit="1"/>
    </xf>
    <xf numFmtId="187" fontId="59" fillId="0" borderId="20" xfId="6" applyNumberFormat="1" applyFont="1" applyFill="1" applyBorder="1" applyAlignment="1">
      <alignment vertical="center" shrinkToFit="1"/>
    </xf>
    <xf numFmtId="187" fontId="48" fillId="0" borderId="20" xfId="0" applyNumberFormat="1" applyFont="1" applyFill="1" applyBorder="1" applyAlignment="1">
      <alignment vertical="center" shrinkToFit="1"/>
    </xf>
    <xf numFmtId="187" fontId="59" fillId="0" borderId="20" xfId="6" applyFont="1" applyFill="1" applyBorder="1" applyAlignment="1">
      <alignment horizontal="right" vertical="center" shrinkToFit="1"/>
    </xf>
    <xf numFmtId="187" fontId="59" fillId="0" borderId="18" xfId="6" applyNumberFormat="1" applyFont="1" applyFill="1" applyBorder="1" applyAlignment="1">
      <alignment vertical="center" shrinkToFit="1"/>
    </xf>
    <xf numFmtId="187" fontId="48" fillId="0" borderId="18" xfId="0" applyNumberFormat="1" applyFont="1" applyFill="1" applyBorder="1" applyAlignment="1">
      <alignment vertical="center" shrinkToFit="1"/>
    </xf>
    <xf numFmtId="187" fontId="59" fillId="0" borderId="18" xfId="6" applyFont="1" applyFill="1" applyBorder="1" applyAlignment="1">
      <alignment horizontal="right" vertical="center" shrinkToFit="1"/>
    </xf>
    <xf numFmtId="187" fontId="59" fillId="0" borderId="19" xfId="6" applyNumberFormat="1" applyFont="1" applyFill="1" applyBorder="1" applyAlignment="1">
      <alignment vertical="center" shrinkToFit="1"/>
    </xf>
    <xf numFmtId="187" fontId="48" fillId="0" borderId="19" xfId="0" applyNumberFormat="1" applyFont="1" applyFill="1" applyBorder="1" applyAlignment="1">
      <alignment vertical="center" shrinkToFit="1"/>
    </xf>
    <xf numFmtId="187" fontId="59" fillId="0" borderId="19" xfId="6" applyFont="1" applyFill="1" applyBorder="1" applyAlignment="1">
      <alignment horizontal="right" vertical="center" shrinkToFit="1"/>
    </xf>
    <xf numFmtId="187" fontId="59" fillId="0" borderId="7" xfId="2" applyNumberFormat="1" applyFont="1" applyFill="1" applyBorder="1" applyAlignment="1">
      <alignment horizontal="center" vertical="center" shrinkToFit="1"/>
    </xf>
    <xf numFmtId="0" fontId="19" fillId="0" borderId="7" xfId="2" applyFont="1" applyFill="1" applyBorder="1" applyAlignment="1">
      <alignment horizontal="center" vertical="center"/>
    </xf>
    <xf numFmtId="0" fontId="59" fillId="0" borderId="7" xfId="2" applyFont="1" applyFill="1" applyBorder="1" applyAlignment="1">
      <alignment horizontal="center" vertical="center" wrapText="1"/>
    </xf>
    <xf numFmtId="0" fontId="59" fillId="0" borderId="7" xfId="2" applyFont="1" applyFill="1" applyBorder="1" applyAlignment="1">
      <alignment horizontal="center" vertical="center"/>
    </xf>
    <xf numFmtId="0" fontId="59" fillId="0" borderId="11" xfId="2" applyFont="1" applyFill="1" applyBorder="1" applyAlignment="1">
      <alignment horizontal="center" vertical="center" wrapText="1"/>
    </xf>
    <xf numFmtId="0" fontId="59" fillId="0" borderId="7" xfId="2" applyFont="1" applyBorder="1" applyAlignment="1">
      <alignment horizontal="center" vertical="center" wrapText="1"/>
    </xf>
    <xf numFmtId="187" fontId="48" fillId="0" borderId="9" xfId="6" applyFont="1" applyFill="1" applyBorder="1" applyAlignment="1">
      <alignment horizontal="center" vertical="top"/>
    </xf>
    <xf numFmtId="49" fontId="48" fillId="0" borderId="10" xfId="11" applyNumberFormat="1" applyFont="1" applyFill="1" applyBorder="1" applyAlignment="1">
      <alignment horizontal="center" vertical="center"/>
    </xf>
    <xf numFmtId="0" fontId="47" fillId="0" borderId="8" xfId="11" applyFont="1" applyFill="1" applyBorder="1" applyAlignment="1">
      <alignment vertical="center"/>
    </xf>
    <xf numFmtId="4" fontId="48" fillId="0" borderId="8" xfId="11" applyNumberFormat="1" applyFont="1" applyFill="1" applyBorder="1" applyAlignment="1">
      <alignment vertical="center"/>
    </xf>
    <xf numFmtId="187" fontId="48" fillId="0" borderId="8" xfId="6" applyFont="1" applyFill="1" applyBorder="1" applyAlignment="1">
      <alignment vertical="center"/>
    </xf>
    <xf numFmtId="0" fontId="48" fillId="0" borderId="16" xfId="11" applyFont="1" applyFill="1" applyBorder="1" applyAlignment="1">
      <alignment vertical="center" wrapText="1"/>
    </xf>
    <xf numFmtId="0" fontId="48" fillId="0" borderId="17" xfId="11" applyFont="1" applyFill="1" applyBorder="1" applyAlignment="1">
      <alignment vertical="center" wrapText="1"/>
    </xf>
    <xf numFmtId="0" fontId="48" fillId="0" borderId="29" xfId="11" applyFont="1" applyFill="1" applyBorder="1" applyAlignment="1">
      <alignment vertical="center" wrapText="1"/>
    </xf>
    <xf numFmtId="0" fontId="48" fillId="0" borderId="7" xfId="11" applyFont="1" applyFill="1" applyBorder="1" applyAlignment="1">
      <alignment horizontal="right" vertical="center" wrapText="1"/>
    </xf>
    <xf numFmtId="4" fontId="48" fillId="0" borderId="7" xfId="11" applyNumberFormat="1" applyFont="1" applyFill="1" applyBorder="1" applyAlignment="1">
      <alignment horizontal="right" vertical="center"/>
    </xf>
    <xf numFmtId="4" fontId="48" fillId="0" borderId="16" xfId="11" applyNumberFormat="1" applyFont="1" applyFill="1" applyBorder="1" applyAlignment="1">
      <alignment vertical="center" shrinkToFit="1"/>
    </xf>
    <xf numFmtId="187" fontId="48" fillId="0" borderId="16" xfId="6" applyNumberFormat="1" applyFont="1" applyFill="1" applyBorder="1" applyAlignment="1">
      <alignment vertical="center" shrinkToFit="1"/>
    </xf>
    <xf numFmtId="187" fontId="48" fillId="0" borderId="16" xfId="6" applyFont="1" applyFill="1" applyBorder="1" applyAlignment="1">
      <alignment vertical="center" shrinkToFit="1"/>
    </xf>
    <xf numFmtId="187" fontId="48" fillId="0" borderId="17" xfId="6" applyNumberFormat="1" applyFont="1" applyFill="1" applyBorder="1" applyAlignment="1">
      <alignment vertical="center" shrinkToFit="1"/>
    </xf>
    <xf numFmtId="187" fontId="48" fillId="0" borderId="17" xfId="6" applyFont="1" applyFill="1" applyBorder="1" applyAlignment="1">
      <alignment vertical="center" shrinkToFit="1"/>
    </xf>
    <xf numFmtId="187" fontId="48" fillId="0" borderId="29" xfId="6" applyNumberFormat="1" applyFont="1" applyFill="1" applyBorder="1" applyAlignment="1">
      <alignment vertical="center" shrinkToFit="1"/>
    </xf>
    <xf numFmtId="187" fontId="48" fillId="0" borderId="29" xfId="6" applyFont="1" applyFill="1" applyBorder="1" applyAlignment="1">
      <alignment vertical="center" shrinkToFit="1"/>
    </xf>
    <xf numFmtId="187" fontId="48" fillId="0" borderId="7" xfId="6" applyFont="1" applyFill="1" applyBorder="1" applyAlignment="1">
      <alignment vertical="center" shrinkToFit="1"/>
    </xf>
    <xf numFmtId="187" fontId="48" fillId="0" borderId="7" xfId="6" applyNumberFormat="1" applyFont="1" applyFill="1" applyBorder="1" applyAlignment="1">
      <alignment vertical="center" shrinkToFit="1"/>
    </xf>
    <xf numFmtId="43" fontId="48" fillId="0" borderId="17" xfId="6" applyNumberFormat="1" applyFont="1" applyFill="1" applyBorder="1" applyAlignment="1">
      <alignment vertical="center" shrinkToFit="1"/>
    </xf>
    <xf numFmtId="43" fontId="48" fillId="0" borderId="29" xfId="6" applyNumberFormat="1" applyFont="1" applyFill="1" applyBorder="1" applyAlignment="1">
      <alignment vertical="center" shrinkToFit="1"/>
    </xf>
    <xf numFmtId="187" fontId="48" fillId="0" borderId="16" xfId="11" applyNumberFormat="1" applyFont="1" applyFill="1" applyBorder="1" applyAlignment="1">
      <alignment vertical="center" shrinkToFit="1"/>
    </xf>
    <xf numFmtId="187" fontId="48" fillId="0" borderId="17" xfId="11" applyNumberFormat="1" applyFont="1" applyFill="1" applyBorder="1" applyAlignment="1">
      <alignment vertical="center" shrinkToFit="1"/>
    </xf>
    <xf numFmtId="187" fontId="48" fillId="0" borderId="29" xfId="11" applyNumberFormat="1" applyFont="1" applyFill="1" applyBorder="1" applyAlignment="1">
      <alignment vertical="center" shrinkToFit="1"/>
    </xf>
    <xf numFmtId="187" fontId="48" fillId="0" borderId="7" xfId="11" applyNumberFormat="1" applyFont="1" applyFill="1" applyBorder="1" applyAlignment="1">
      <alignment vertical="center" shrinkToFit="1"/>
    </xf>
    <xf numFmtId="187" fontId="44" fillId="0" borderId="8" xfId="6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43" fontId="15" fillId="0" borderId="7" xfId="1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 wrapText="1"/>
    </xf>
    <xf numFmtId="0" fontId="15" fillId="0" borderId="30" xfId="2" applyFont="1" applyFill="1" applyBorder="1" applyAlignment="1">
      <alignment vertical="center"/>
    </xf>
    <xf numFmtId="187" fontId="15" fillId="0" borderId="30" xfId="6" applyFont="1" applyFill="1" applyBorder="1" applyAlignment="1">
      <alignment horizontal="left" vertical="center" shrinkToFit="1"/>
    </xf>
    <xf numFmtId="187" fontId="15" fillId="0" borderId="30" xfId="6" applyFont="1" applyFill="1" applyBorder="1" applyAlignment="1">
      <alignment vertical="center" shrinkToFit="1"/>
    </xf>
    <xf numFmtId="43" fontId="15" fillId="0" borderId="30" xfId="1" applyFont="1" applyFill="1" applyBorder="1" applyAlignment="1">
      <alignment horizontal="left" vertical="center" shrinkToFit="1"/>
    </xf>
    <xf numFmtId="0" fontId="15" fillId="0" borderId="0" xfId="2" applyFont="1" applyFill="1" applyAlignment="1">
      <alignment vertical="center"/>
    </xf>
    <xf numFmtId="187" fontId="15" fillId="0" borderId="17" xfId="6" applyFont="1" applyFill="1" applyBorder="1" applyAlignment="1">
      <alignment horizontal="left" vertical="center" shrinkToFit="1"/>
    </xf>
    <xf numFmtId="187" fontId="15" fillId="0" borderId="17" xfId="6" applyFont="1" applyFill="1" applyBorder="1" applyAlignment="1">
      <alignment vertical="center" shrinkToFit="1"/>
    </xf>
    <xf numFmtId="43" fontId="15" fillId="0" borderId="17" xfId="1" applyFont="1" applyFill="1" applyBorder="1" applyAlignment="1">
      <alignment horizontal="left" vertical="center" shrinkToFit="1"/>
    </xf>
    <xf numFmtId="187" fontId="15" fillId="0" borderId="31" xfId="6" applyFont="1" applyFill="1" applyBorder="1" applyAlignment="1">
      <alignment horizontal="left" vertical="center" shrinkToFit="1"/>
    </xf>
    <xf numFmtId="187" fontId="15" fillId="0" borderId="31" xfId="6" applyFont="1" applyFill="1" applyBorder="1" applyAlignment="1">
      <alignment vertical="center" shrinkToFit="1"/>
    </xf>
    <xf numFmtId="43" fontId="15" fillId="0" borderId="31" xfId="1" applyFont="1" applyFill="1" applyBorder="1" applyAlignment="1">
      <alignment horizontal="left" vertical="center" shrinkToFit="1"/>
    </xf>
    <xf numFmtId="187" fontId="15" fillId="0" borderId="7" xfId="6" applyFont="1" applyFill="1" applyBorder="1" applyAlignment="1">
      <alignment vertical="top" shrinkToFit="1"/>
    </xf>
    <xf numFmtId="43" fontId="15" fillId="0" borderId="7" xfId="1" applyFont="1" applyFill="1" applyBorder="1" applyAlignment="1">
      <alignment vertical="top" shrinkToFit="1"/>
    </xf>
    <xf numFmtId="0" fontId="15" fillId="0" borderId="0" xfId="2" applyFont="1" applyFill="1" applyAlignment="1">
      <alignment vertical="top"/>
    </xf>
    <xf numFmtId="187" fontId="15" fillId="0" borderId="17" xfId="6" applyFont="1" applyFill="1" applyBorder="1" applyAlignment="1">
      <alignment horizontal="left" vertical="center"/>
    </xf>
    <xf numFmtId="4" fontId="4" fillId="0" borderId="32" xfId="2" applyNumberFormat="1" applyFont="1" applyFill="1" applyBorder="1" applyAlignment="1">
      <alignment horizontal="right" vertical="center" shrinkToFit="1"/>
    </xf>
    <xf numFmtId="4" fontId="4" fillId="0" borderId="33" xfId="2" applyNumberFormat="1" applyFont="1" applyFill="1" applyBorder="1" applyAlignment="1">
      <alignment horizontal="right" vertical="center" shrinkToFit="1"/>
    </xf>
    <xf numFmtId="0" fontId="4" fillId="0" borderId="33" xfId="2" applyFont="1" applyBorder="1" applyAlignment="1">
      <alignment vertical="center" shrinkToFit="1"/>
    </xf>
    <xf numFmtId="4" fontId="5" fillId="0" borderId="1" xfId="0" applyNumberFormat="1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43" fontId="4" fillId="0" borderId="0" xfId="1" applyFont="1" applyFill="1" applyBorder="1" applyAlignment="1">
      <alignment horizontal="right" vertical="center" shrinkToFit="1"/>
    </xf>
    <xf numFmtId="43" fontId="4" fillId="0" borderId="4" xfId="1" applyFont="1" applyFill="1" applyBorder="1" applyAlignment="1">
      <alignment horizontal="right" vertical="center" shrinkToFit="1"/>
    </xf>
    <xf numFmtId="43" fontId="5" fillId="0" borderId="0" xfId="0" applyNumberFormat="1" applyFont="1" applyBorder="1" applyAlignment="1">
      <alignment vertical="center" shrinkToFit="1"/>
    </xf>
    <xf numFmtId="43" fontId="5" fillId="0" borderId="3" xfId="0" applyNumberFormat="1" applyFont="1" applyBorder="1" applyAlignment="1">
      <alignment vertical="center" shrinkToFit="1"/>
    </xf>
    <xf numFmtId="0" fontId="15" fillId="0" borderId="20" xfId="2" applyFont="1" applyBorder="1" applyAlignment="1">
      <alignment vertical="center" wrapText="1"/>
    </xf>
    <xf numFmtId="187" fontId="15" fillId="0" borderId="20" xfId="6" applyFont="1" applyFill="1" applyBorder="1" applyAlignment="1">
      <alignment vertical="center" shrinkToFit="1"/>
    </xf>
    <xf numFmtId="49" fontId="15" fillId="0" borderId="20" xfId="6" applyNumberFormat="1" applyFont="1" applyBorder="1" applyAlignment="1">
      <alignment horizontal="center" vertical="center" shrinkToFit="1"/>
    </xf>
    <xf numFmtId="0" fontId="15" fillId="0" borderId="20" xfId="2" applyFont="1" applyBorder="1" applyAlignment="1">
      <alignment horizontal="center" vertical="center" shrinkToFit="1"/>
    </xf>
    <xf numFmtId="187" fontId="15" fillId="0" borderId="20" xfId="6" applyFont="1" applyBorder="1" applyAlignment="1">
      <alignment vertical="center" shrinkToFit="1"/>
    </xf>
    <xf numFmtId="187" fontId="5" fillId="0" borderId="20" xfId="0" applyNumberFormat="1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15" fillId="0" borderId="18" xfId="2" applyFont="1" applyBorder="1" applyAlignment="1">
      <alignment vertical="top" wrapText="1"/>
    </xf>
    <xf numFmtId="187" fontId="15" fillId="0" borderId="18" xfId="6" applyFont="1" applyFill="1" applyBorder="1" applyAlignment="1">
      <alignment vertical="center" shrinkToFit="1"/>
    </xf>
    <xf numFmtId="49" fontId="15" fillId="0" borderId="18" xfId="6" applyNumberFormat="1" applyFont="1" applyBorder="1" applyAlignment="1">
      <alignment horizontal="center" vertical="center" shrinkToFit="1"/>
    </xf>
    <xf numFmtId="0" fontId="15" fillId="0" borderId="18" xfId="2" applyFont="1" applyBorder="1" applyAlignment="1">
      <alignment horizontal="center" vertical="center" shrinkToFit="1"/>
    </xf>
    <xf numFmtId="187" fontId="15" fillId="0" borderId="18" xfId="6" applyFont="1" applyBorder="1" applyAlignment="1">
      <alignment vertical="center" shrinkToFit="1"/>
    </xf>
    <xf numFmtId="187" fontId="5" fillId="0" borderId="18" xfId="0" applyNumberFormat="1" applyFont="1" applyFill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0" fontId="15" fillId="0" borderId="19" xfId="2" applyFont="1" applyBorder="1" applyAlignment="1">
      <alignment vertical="top" wrapText="1"/>
    </xf>
    <xf numFmtId="187" fontId="15" fillId="0" borderId="19" xfId="6" applyFont="1" applyFill="1" applyBorder="1" applyAlignment="1">
      <alignment vertical="center" shrinkToFit="1"/>
    </xf>
    <xf numFmtId="49" fontId="15" fillId="0" borderId="19" xfId="6" applyNumberFormat="1" applyFont="1" applyBorder="1" applyAlignment="1">
      <alignment horizontal="center" vertical="center" shrinkToFit="1"/>
    </xf>
    <xf numFmtId="0" fontId="15" fillId="0" borderId="19" xfId="2" applyFont="1" applyBorder="1" applyAlignment="1">
      <alignment horizontal="center" vertical="center" shrinkToFit="1"/>
    </xf>
    <xf numFmtId="187" fontId="15" fillId="0" borderId="19" xfId="6" applyFont="1" applyBorder="1" applyAlignment="1">
      <alignment vertical="center" shrinkToFit="1"/>
    </xf>
    <xf numFmtId="187" fontId="5" fillId="0" borderId="19" xfId="0" applyNumberFormat="1" applyFont="1" applyFill="1" applyBorder="1" applyAlignment="1">
      <alignment vertical="center" shrinkToFit="1"/>
    </xf>
    <xf numFmtId="0" fontId="5" fillId="0" borderId="19" xfId="0" applyFont="1" applyBorder="1" applyAlignment="1">
      <alignment horizontal="center" vertical="center" shrinkToFit="1"/>
    </xf>
    <xf numFmtId="0" fontId="15" fillId="0" borderId="7" xfId="2" applyFont="1" applyBorder="1" applyAlignment="1">
      <alignment horizontal="right" vertical="center"/>
    </xf>
    <xf numFmtId="187" fontId="15" fillId="0" borderId="7" xfId="2" applyNumberFormat="1" applyFont="1" applyFill="1" applyBorder="1" applyAlignment="1">
      <alignment vertical="center" shrinkToFit="1"/>
    </xf>
    <xf numFmtId="187" fontId="15" fillId="0" borderId="7" xfId="2" applyNumberFormat="1" applyFont="1" applyBorder="1" applyAlignment="1">
      <alignment vertical="center" shrinkToFit="1"/>
    </xf>
    <xf numFmtId="189" fontId="15" fillId="0" borderId="7" xfId="2" applyNumberFormat="1" applyFont="1" applyBorder="1" applyAlignment="1">
      <alignment horizontal="center" vertical="center" shrinkToFit="1"/>
    </xf>
    <xf numFmtId="43" fontId="15" fillId="0" borderId="7" xfId="2" applyNumberFormat="1" applyFont="1" applyBorder="1" applyAlignment="1">
      <alignment vertical="center" shrinkToFit="1"/>
    </xf>
    <xf numFmtId="0" fontId="4" fillId="0" borderId="1" xfId="2" applyFont="1" applyFill="1" applyBorder="1" applyAlignment="1">
      <alignment horizontal="center" vertical="center" wrapText="1"/>
    </xf>
    <xf numFmtId="187" fontId="29" fillId="0" borderId="7" xfId="6" applyFont="1" applyFill="1" applyBorder="1" applyAlignment="1">
      <alignment horizontal="center" vertical="center" wrapText="1" shrinkToFit="1"/>
    </xf>
    <xf numFmtId="0" fontId="25" fillId="0" borderId="24" xfId="2" applyFont="1" applyFill="1" applyBorder="1" applyAlignment="1">
      <alignment vertical="center" wrapText="1"/>
    </xf>
    <xf numFmtId="0" fontId="25" fillId="0" borderId="42" xfId="2" applyFont="1" applyFill="1" applyBorder="1" applyAlignment="1">
      <alignment vertical="center"/>
    </xf>
    <xf numFmtId="0" fontId="29" fillId="0" borderId="4" xfId="2" applyFont="1" applyFill="1" applyBorder="1" applyAlignment="1">
      <alignment horizontal="left" vertical="center" wrapText="1"/>
    </xf>
    <xf numFmtId="0" fontId="29" fillId="0" borderId="9" xfId="2" applyFont="1" applyFill="1" applyBorder="1" applyAlignment="1">
      <alignment horizontal="center" vertical="center" wrapText="1"/>
    </xf>
    <xf numFmtId="187" fontId="29" fillId="0" borderId="9" xfId="6" applyFont="1" applyFill="1" applyBorder="1" applyAlignment="1">
      <alignment horizontal="center" vertical="center" shrinkToFit="1"/>
    </xf>
    <xf numFmtId="187" fontId="29" fillId="0" borderId="9" xfId="6" applyFont="1" applyFill="1" applyBorder="1" applyAlignment="1">
      <alignment vertical="center" shrinkToFit="1"/>
    </xf>
    <xf numFmtId="1" fontId="29" fillId="0" borderId="9" xfId="6" applyNumberFormat="1" applyFont="1" applyFill="1" applyBorder="1" applyAlignment="1">
      <alignment horizontal="center" vertical="center" shrinkToFit="1"/>
    </xf>
    <xf numFmtId="0" fontId="29" fillId="0" borderId="9" xfId="2" applyFont="1" applyFill="1" applyBorder="1" applyAlignment="1">
      <alignment horizontal="center" vertical="center"/>
    </xf>
    <xf numFmtId="187" fontId="29" fillId="0" borderId="9" xfId="0" applyNumberFormat="1" applyFont="1" applyFill="1" applyBorder="1" applyAlignment="1">
      <alignment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/>
    </xf>
    <xf numFmtId="43" fontId="29" fillId="0" borderId="9" xfId="1" applyFont="1" applyFill="1" applyBorder="1" applyAlignment="1">
      <alignment vertical="center" shrinkToFit="1"/>
    </xf>
    <xf numFmtId="187" fontId="29" fillId="0" borderId="42" xfId="6" applyNumberFormat="1" applyFont="1" applyFill="1" applyBorder="1" applyAlignment="1">
      <alignment vertical="center" shrinkToFit="1"/>
    </xf>
    <xf numFmtId="187" fontId="29" fillId="0" borderId="43" xfId="6" applyFont="1" applyFill="1" applyBorder="1" applyAlignment="1">
      <alignment vertical="center" shrinkToFit="1"/>
    </xf>
    <xf numFmtId="43" fontId="24" fillId="0" borderId="0" xfId="1" applyFont="1" applyFill="1" applyAlignment="1">
      <alignment horizontal="center" vertical="center"/>
    </xf>
    <xf numFmtId="43" fontId="22" fillId="0" borderId="0" xfId="1" applyFont="1"/>
    <xf numFmtId="43" fontId="9" fillId="0" borderId="0" xfId="0" applyNumberFormat="1" applyFont="1"/>
    <xf numFmtId="43" fontId="9" fillId="0" borderId="0" xfId="0" applyNumberFormat="1" applyFont="1" applyAlignment="1">
      <alignment vertical="top"/>
    </xf>
    <xf numFmtId="43" fontId="17" fillId="0" borderId="0" xfId="2" applyNumberFormat="1" applyFont="1" applyFill="1"/>
    <xf numFmtId="0" fontId="24" fillId="0" borderId="7" xfId="2" applyFont="1" applyFill="1" applyBorder="1" applyAlignment="1">
      <alignment horizontal="center" vertical="center" wrapText="1"/>
    </xf>
    <xf numFmtId="0" fontId="29" fillId="0" borderId="25" xfId="2" applyFont="1" applyFill="1" applyBorder="1" applyAlignment="1">
      <alignment vertical="center" wrapText="1" shrinkToFit="1"/>
    </xf>
    <xf numFmtId="187" fontId="29" fillId="0" borderId="19" xfId="6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left" vertical="center" wrapText="1" shrinkToFit="1"/>
    </xf>
    <xf numFmtId="0" fontId="29" fillId="0" borderId="10" xfId="2" applyFont="1" applyFill="1" applyBorder="1" applyAlignment="1">
      <alignment horizontal="center" vertical="center" wrapText="1"/>
    </xf>
    <xf numFmtId="187" fontId="29" fillId="0" borderId="10" xfId="0" applyNumberFormat="1" applyFont="1" applyFill="1" applyBorder="1" applyAlignment="1">
      <alignment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wrapText="1"/>
    </xf>
    <xf numFmtId="43" fontId="29" fillId="0" borderId="10" xfId="1" applyFont="1" applyFill="1" applyBorder="1" applyAlignment="1">
      <alignment vertical="center" shrinkToFit="1"/>
    </xf>
    <xf numFmtId="43" fontId="0" fillId="0" borderId="0" xfId="0" applyNumberFormat="1"/>
    <xf numFmtId="187" fontId="15" fillId="0" borderId="0" xfId="2" applyNumberFormat="1" applyFont="1" applyFill="1"/>
    <xf numFmtId="0" fontId="48" fillId="0" borderId="29" xfId="11" applyFont="1" applyFill="1" applyBorder="1" applyAlignment="1">
      <alignment vertical="center" shrinkToFit="1"/>
    </xf>
    <xf numFmtId="4" fontId="62" fillId="0" borderId="0" xfId="11" applyNumberFormat="1" applyFont="1" applyFill="1"/>
    <xf numFmtId="187" fontId="48" fillId="0" borderId="8" xfId="6" applyFont="1" applyFill="1" applyBorder="1" applyAlignment="1">
      <alignment vertical="center" shrinkToFit="1"/>
    </xf>
    <xf numFmtId="187" fontId="48" fillId="0" borderId="8" xfId="11" applyNumberFormat="1" applyFont="1" applyFill="1" applyBorder="1" applyAlignment="1">
      <alignment vertical="center" shrinkToFit="1"/>
    </xf>
    <xf numFmtId="0" fontId="27" fillId="0" borderId="7" xfId="2" applyFont="1" applyFill="1" applyBorder="1" applyAlignment="1">
      <alignment horizontal="center" vertical="center" wrapText="1"/>
    </xf>
    <xf numFmtId="4" fontId="4" fillId="0" borderId="33" xfId="2" applyNumberFormat="1" applyFont="1" applyFill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 wrapText="1"/>
    </xf>
    <xf numFmtId="0" fontId="13" fillId="0" borderId="0" xfId="0" applyFont="1"/>
    <xf numFmtId="187" fontId="4" fillId="0" borderId="0" xfId="1" applyNumberFormat="1" applyFont="1"/>
    <xf numFmtId="43" fontId="4" fillId="0" borderId="32" xfId="1" applyFont="1" applyBorder="1" applyAlignment="1">
      <alignment vertical="center" shrinkToFit="1"/>
    </xf>
    <xf numFmtId="43" fontId="4" fillId="0" borderId="33" xfId="1" applyFont="1" applyFill="1" applyBorder="1" applyAlignment="1">
      <alignment horizontal="right" vertical="center" shrinkToFit="1"/>
    </xf>
    <xf numFmtId="43" fontId="4" fillId="0" borderId="33" xfId="1" applyFont="1" applyBorder="1" applyAlignment="1">
      <alignment vertical="center" shrinkToFit="1"/>
    </xf>
    <xf numFmtId="0" fontId="4" fillId="0" borderId="0" xfId="2" applyFont="1" applyFill="1" applyBorder="1" applyAlignment="1">
      <alignment vertical="center" wrapText="1"/>
    </xf>
    <xf numFmtId="4" fontId="4" fillId="0" borderId="44" xfId="2" applyNumberFormat="1" applyFont="1" applyFill="1" applyBorder="1" applyAlignment="1">
      <alignment horizontal="right" vertical="center" shrinkToFit="1"/>
    </xf>
    <xf numFmtId="187" fontId="13" fillId="0" borderId="47" xfId="9" applyFont="1" applyBorder="1" applyAlignment="1">
      <alignment vertical="top"/>
    </xf>
    <xf numFmtId="187" fontId="9" fillId="0" borderId="47" xfId="0" applyNumberFormat="1" applyFont="1" applyBorder="1" applyAlignment="1">
      <alignment vertical="top"/>
    </xf>
    <xf numFmtId="0" fontId="9" fillId="0" borderId="47" xfId="0" applyFont="1" applyBorder="1" applyAlignment="1">
      <alignment horizontal="center" vertical="top"/>
    </xf>
    <xf numFmtId="43" fontId="9" fillId="0" borderId="47" xfId="1" applyFont="1" applyBorder="1" applyAlignment="1">
      <alignment vertical="top"/>
    </xf>
    <xf numFmtId="0" fontId="9" fillId="0" borderId="47" xfId="0" applyFont="1" applyBorder="1" applyAlignment="1">
      <alignment horizontal="left" vertical="top" wrapText="1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top"/>
    </xf>
    <xf numFmtId="0" fontId="22" fillId="0" borderId="0" xfId="0" applyFont="1" applyAlignment="1">
      <alignment horizontal="right"/>
    </xf>
    <xf numFmtId="0" fontId="22" fillId="0" borderId="7" xfId="0" applyFont="1" applyFill="1" applyBorder="1" applyAlignment="1">
      <alignment horizontal="center" vertical="top"/>
    </xf>
    <xf numFmtId="187" fontId="22" fillId="0" borderId="7" xfId="5" applyFont="1" applyFill="1" applyBorder="1" applyAlignment="1">
      <alignment horizontal="center" vertical="top"/>
    </xf>
    <xf numFmtId="0" fontId="57" fillId="0" borderId="7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51" fillId="0" borderId="8" xfId="0" applyFont="1" applyFill="1" applyBorder="1" applyAlignment="1">
      <alignment vertical="top"/>
    </xf>
    <xf numFmtId="0" fontId="51" fillId="0" borderId="8" xfId="0" applyFont="1" applyFill="1" applyBorder="1" applyAlignment="1">
      <alignment horizontal="center" vertical="top"/>
    </xf>
    <xf numFmtId="0" fontId="51" fillId="0" borderId="8" xfId="0" applyFont="1" applyFill="1" applyBorder="1" applyAlignment="1">
      <alignment vertical="top" shrinkToFit="1"/>
    </xf>
    <xf numFmtId="0" fontId="51" fillId="0" borderId="0" xfId="0" applyFont="1" applyFill="1" applyAlignment="1">
      <alignment vertical="top"/>
    </xf>
    <xf numFmtId="0" fontId="50" fillId="0" borderId="34" xfId="0" applyFont="1" applyFill="1" applyBorder="1" applyAlignment="1">
      <alignment vertical="top"/>
    </xf>
    <xf numFmtId="187" fontId="50" fillId="0" borderId="34" xfId="0" applyNumberFormat="1" applyFont="1" applyFill="1" applyBorder="1" applyAlignment="1">
      <alignment vertical="top" shrinkToFit="1"/>
    </xf>
    <xf numFmtId="0" fontId="50" fillId="0" borderId="34" xfId="0" applyFont="1" applyFill="1" applyBorder="1" applyAlignment="1">
      <alignment horizontal="center" vertical="top" shrinkToFit="1"/>
    </xf>
    <xf numFmtId="0" fontId="50" fillId="0" borderId="34" xfId="0" applyFont="1" applyFill="1" applyBorder="1" applyAlignment="1">
      <alignment horizontal="center" vertical="top"/>
    </xf>
    <xf numFmtId="43" fontId="50" fillId="0" borderId="34" xfId="1" applyFont="1" applyFill="1" applyBorder="1" applyAlignment="1">
      <alignment vertical="top" shrinkToFit="1"/>
    </xf>
    <xf numFmtId="0" fontId="50" fillId="0" borderId="0" xfId="0" applyFont="1" applyFill="1" applyAlignment="1">
      <alignment vertical="top"/>
    </xf>
    <xf numFmtId="0" fontId="50" fillId="0" borderId="18" xfId="0" applyFont="1" applyFill="1" applyBorder="1" applyAlignment="1">
      <alignment vertical="top"/>
    </xf>
    <xf numFmtId="187" fontId="50" fillId="0" borderId="18" xfId="0" applyNumberFormat="1" applyFont="1" applyFill="1" applyBorder="1" applyAlignment="1">
      <alignment vertical="top" shrinkToFit="1"/>
    </xf>
    <xf numFmtId="0" fontId="50" fillId="0" borderId="18" xfId="0" applyFont="1" applyFill="1" applyBorder="1" applyAlignment="1">
      <alignment horizontal="center" vertical="top" shrinkToFit="1"/>
    </xf>
    <xf numFmtId="0" fontId="50" fillId="0" borderId="18" xfId="0" applyFont="1" applyFill="1" applyBorder="1" applyAlignment="1">
      <alignment horizontal="center" vertical="top"/>
    </xf>
    <xf numFmtId="43" fontId="50" fillId="0" borderId="18" xfId="1" applyFont="1" applyFill="1" applyBorder="1" applyAlignment="1">
      <alignment vertical="top" shrinkToFit="1"/>
    </xf>
    <xf numFmtId="0" fontId="50" fillId="0" borderId="18" xfId="0" applyFont="1" applyFill="1" applyBorder="1" applyAlignment="1">
      <alignment horizontal="center" vertical="top" wrapText="1"/>
    </xf>
    <xf numFmtId="0" fontId="50" fillId="0" borderId="19" xfId="0" applyFont="1" applyFill="1" applyBorder="1" applyAlignment="1">
      <alignment vertical="top"/>
    </xf>
    <xf numFmtId="187" fontId="50" fillId="0" borderId="19" xfId="0" applyNumberFormat="1" applyFont="1" applyFill="1" applyBorder="1" applyAlignment="1">
      <alignment vertical="top" shrinkToFit="1"/>
    </xf>
    <xf numFmtId="0" fontId="50" fillId="0" borderId="19" xfId="0" applyFont="1" applyFill="1" applyBorder="1" applyAlignment="1">
      <alignment horizontal="center" vertical="top" shrinkToFit="1"/>
    </xf>
    <xf numFmtId="43" fontId="50" fillId="0" borderId="19" xfId="1" applyFont="1" applyFill="1" applyBorder="1" applyAlignment="1">
      <alignment vertical="top" shrinkToFit="1"/>
    </xf>
    <xf numFmtId="0" fontId="50" fillId="0" borderId="18" xfId="0" applyFont="1" applyFill="1" applyBorder="1" applyAlignment="1">
      <alignment vertical="top" wrapText="1"/>
    </xf>
    <xf numFmtId="43" fontId="50" fillId="0" borderId="7" xfId="1" applyFont="1" applyFill="1" applyBorder="1" applyAlignment="1">
      <alignment vertical="top" shrinkToFit="1"/>
    </xf>
    <xf numFmtId="43" fontId="50" fillId="0" borderId="7" xfId="1" applyFont="1" applyFill="1" applyBorder="1" applyAlignment="1">
      <alignment horizontal="center" vertical="top" shrinkToFit="1"/>
    </xf>
    <xf numFmtId="43" fontId="50" fillId="0" borderId="7" xfId="1" applyFont="1" applyFill="1" applyBorder="1" applyAlignment="1">
      <alignment horizontal="center" vertical="top"/>
    </xf>
    <xf numFmtId="43" fontId="50" fillId="0" borderId="7" xfId="1" applyFont="1" applyFill="1" applyBorder="1" applyAlignment="1">
      <alignment vertical="top"/>
    </xf>
    <xf numFmtId="43" fontId="12" fillId="0" borderId="0" xfId="0" applyNumberFormat="1" applyFont="1" applyFill="1" applyAlignment="1">
      <alignment vertical="top"/>
    </xf>
    <xf numFmtId="0" fontId="63" fillId="0" borderId="0" xfId="0" applyFont="1"/>
    <xf numFmtId="187" fontId="9" fillId="0" borderId="9" xfId="0" applyNumberFormat="1" applyFont="1" applyFill="1" applyBorder="1" applyAlignment="1">
      <alignment vertical="top"/>
    </xf>
    <xf numFmtId="0" fontId="9" fillId="0" borderId="9" xfId="0" applyFont="1" applyBorder="1" applyAlignment="1">
      <alignment horizontal="center" vertical="top"/>
    </xf>
    <xf numFmtId="43" fontId="9" fillId="0" borderId="9" xfId="1" applyFont="1" applyFill="1" applyBorder="1" applyAlignment="1">
      <alignment vertical="top"/>
    </xf>
    <xf numFmtId="0" fontId="9" fillId="0" borderId="9" xfId="0" applyFont="1" applyBorder="1" applyAlignment="1">
      <alignment vertical="top" wrapText="1"/>
    </xf>
    <xf numFmtId="43" fontId="19" fillId="0" borderId="0" xfId="2" applyNumberFormat="1" applyFont="1" applyFill="1"/>
    <xf numFmtId="187" fontId="64" fillId="0" borderId="20" xfId="6" applyFont="1" applyFill="1" applyBorder="1" applyAlignment="1">
      <alignment vertical="center" shrinkToFit="1"/>
    </xf>
    <xf numFmtId="187" fontId="19" fillId="0" borderId="20" xfId="6" applyFont="1" applyFill="1" applyBorder="1" applyAlignment="1">
      <alignment horizontal="center" vertical="center" shrinkToFit="1"/>
    </xf>
    <xf numFmtId="0" fontId="40" fillId="0" borderId="20" xfId="0" applyFont="1" applyFill="1" applyBorder="1" applyAlignment="1">
      <alignment horizontal="center" vertical="center" shrinkToFit="1"/>
    </xf>
    <xf numFmtId="187" fontId="19" fillId="0" borderId="20" xfId="6" applyFont="1" applyFill="1" applyBorder="1" applyAlignment="1">
      <alignment vertical="center" shrinkToFit="1"/>
    </xf>
    <xf numFmtId="187" fontId="64" fillId="0" borderId="18" xfId="7" applyFont="1" applyFill="1" applyBorder="1" applyAlignment="1">
      <alignment vertical="center" shrinkToFit="1"/>
    </xf>
    <xf numFmtId="187" fontId="26" fillId="0" borderId="18" xfId="6" applyFont="1" applyFill="1" applyBorder="1" applyAlignment="1">
      <alignment horizontal="center" vertical="center" shrinkToFit="1"/>
    </xf>
    <xf numFmtId="0" fontId="40" fillId="0" borderId="18" xfId="0" applyFont="1" applyFill="1" applyBorder="1" applyAlignment="1">
      <alignment horizontal="center" vertical="center" shrinkToFit="1"/>
    </xf>
    <xf numFmtId="187" fontId="26" fillId="0" borderId="18" xfId="6" applyFont="1" applyFill="1" applyBorder="1" applyAlignment="1">
      <alignment vertical="center" shrinkToFit="1"/>
    </xf>
    <xf numFmtId="187" fontId="64" fillId="0" borderId="18" xfId="8" applyFont="1" applyFill="1" applyBorder="1" applyAlignment="1">
      <alignment vertical="center" shrinkToFit="1"/>
    </xf>
    <xf numFmtId="187" fontId="19" fillId="0" borderId="18" xfId="6" applyFont="1" applyFill="1" applyBorder="1" applyAlignment="1">
      <alignment horizontal="center" vertical="center" shrinkToFit="1"/>
    </xf>
    <xf numFmtId="187" fontId="19" fillId="0" borderId="18" xfId="6" applyFont="1" applyFill="1" applyBorder="1" applyAlignment="1">
      <alignment vertical="center" shrinkToFit="1"/>
    </xf>
    <xf numFmtId="187" fontId="64" fillId="0" borderId="18" xfId="9" applyFont="1" applyFill="1" applyBorder="1" applyAlignment="1">
      <alignment vertical="center" shrinkToFit="1"/>
    </xf>
    <xf numFmtId="187" fontId="64" fillId="0" borderId="18" xfId="10" applyFont="1" applyFill="1" applyBorder="1" applyAlignment="1">
      <alignment vertical="center" shrinkToFit="1"/>
    </xf>
    <xf numFmtId="187" fontId="19" fillId="0" borderId="7" xfId="6" applyFont="1" applyFill="1" applyBorder="1" applyAlignment="1">
      <alignment vertical="center" shrinkToFit="1"/>
    </xf>
    <xf numFmtId="187" fontId="19" fillId="0" borderId="11" xfId="6" applyFont="1" applyFill="1" applyBorder="1" applyAlignment="1">
      <alignment vertical="center" shrinkToFit="1"/>
    </xf>
    <xf numFmtId="0" fontId="15" fillId="0" borderId="9" xfId="2" applyFont="1" applyBorder="1" applyAlignment="1">
      <alignment vertical="top" wrapText="1"/>
    </xf>
    <xf numFmtId="187" fontId="15" fillId="0" borderId="9" xfId="6" applyFont="1" applyFill="1" applyBorder="1" applyAlignment="1">
      <alignment vertical="center" shrinkToFit="1"/>
    </xf>
    <xf numFmtId="49" fontId="15" fillId="0" borderId="9" xfId="6" applyNumberFormat="1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187" fontId="15" fillId="0" borderId="9" xfId="6" applyFont="1" applyBorder="1" applyAlignment="1">
      <alignment vertical="center" shrinkToFit="1"/>
    </xf>
    <xf numFmtId="187" fontId="5" fillId="0" borderId="9" xfId="0" applyNumberFormat="1" applyFont="1" applyFill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43" fontId="18" fillId="0" borderId="0" xfId="2" applyNumberFormat="1" applyFont="1" applyAlignment="1"/>
    <xf numFmtId="43" fontId="48" fillId="0" borderId="0" xfId="1" applyFont="1" applyAlignment="1">
      <alignment vertical="center"/>
    </xf>
    <xf numFmtId="0" fontId="65" fillId="0" borderId="0" xfId="0" applyFont="1" applyAlignment="1">
      <alignment vertical="center"/>
    </xf>
    <xf numFmtId="43" fontId="65" fillId="0" borderId="0" xfId="1" applyFont="1" applyAlignment="1">
      <alignment vertical="center"/>
    </xf>
    <xf numFmtId="43" fontId="48" fillId="0" borderId="18" xfId="1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vertical="center"/>
    </xf>
    <xf numFmtId="43" fontId="48" fillId="0" borderId="34" xfId="1" applyFont="1" applyFill="1" applyBorder="1" applyAlignment="1">
      <alignment horizontal="center" vertical="center"/>
    </xf>
    <xf numFmtId="43" fontId="48" fillId="0" borderId="34" xfId="0" applyNumberFormat="1" applyFont="1" applyFill="1" applyBorder="1" applyAlignment="1">
      <alignment horizontal="center" vertical="center"/>
    </xf>
    <xf numFmtId="43" fontId="48" fillId="0" borderId="34" xfId="1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43" fontId="48" fillId="0" borderId="0" xfId="1" applyFont="1" applyFill="1" applyAlignment="1">
      <alignment vertical="center"/>
    </xf>
    <xf numFmtId="0" fontId="48" fillId="0" borderId="18" xfId="0" applyFont="1" applyFill="1" applyBorder="1" applyAlignment="1">
      <alignment vertical="center"/>
    </xf>
    <xf numFmtId="43" fontId="48" fillId="0" borderId="18" xfId="0" applyNumberFormat="1" applyFont="1" applyFill="1" applyBorder="1" applyAlignment="1">
      <alignment horizontal="center" vertical="center"/>
    </xf>
    <xf numFmtId="43" fontId="48" fillId="0" borderId="18" xfId="1" applyFont="1" applyFill="1" applyBorder="1" applyAlignment="1">
      <alignment vertical="center"/>
    </xf>
    <xf numFmtId="0" fontId="50" fillId="0" borderId="34" xfId="0" applyFont="1" applyBorder="1" applyAlignment="1">
      <alignment vertical="center"/>
    </xf>
    <xf numFmtId="43" fontId="50" fillId="0" borderId="34" xfId="1" applyFont="1" applyBorder="1" applyAlignment="1">
      <alignment horizontal="center" vertical="center"/>
    </xf>
    <xf numFmtId="43" fontId="50" fillId="0" borderId="34" xfId="0" applyNumberFormat="1" applyFont="1" applyBorder="1" applyAlignment="1">
      <alignment horizontal="center" vertical="center"/>
    </xf>
    <xf numFmtId="43" fontId="50" fillId="0" borderId="34" xfId="1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43" fontId="50" fillId="0" borderId="18" xfId="1" applyFont="1" applyBorder="1" applyAlignment="1">
      <alignment horizontal="center" vertical="center"/>
    </xf>
    <xf numFmtId="43" fontId="50" fillId="0" borderId="18" xfId="0" applyNumberFormat="1" applyFont="1" applyBorder="1" applyAlignment="1">
      <alignment horizontal="center" vertical="center"/>
    </xf>
    <xf numFmtId="4" fontId="50" fillId="0" borderId="48" xfId="0" applyNumberFormat="1" applyFont="1" applyFill="1" applyBorder="1" applyAlignment="1">
      <alignment horizontal="right" wrapText="1"/>
    </xf>
    <xf numFmtId="4" fontId="50" fillId="0" borderId="0" xfId="0" applyNumberFormat="1" applyFont="1" applyFill="1" applyAlignment="1">
      <alignment horizontal="right" wrapText="1"/>
    </xf>
    <xf numFmtId="43" fontId="50" fillId="0" borderId="18" xfId="1" applyFont="1" applyBorder="1" applyAlignment="1">
      <alignment vertical="center"/>
    </xf>
    <xf numFmtId="43" fontId="22" fillId="0" borderId="0" xfId="0" applyNumberFormat="1" applyFont="1" applyAlignment="1">
      <alignment horizontal="center"/>
    </xf>
    <xf numFmtId="43" fontId="48" fillId="0" borderId="19" xfId="0" applyNumberFormat="1" applyFont="1" applyBorder="1" applyAlignment="1">
      <alignment horizontal="center"/>
    </xf>
    <xf numFmtId="4" fontId="48" fillId="0" borderId="10" xfId="11" applyNumberFormat="1" applyFont="1" applyFill="1" applyBorder="1" applyAlignment="1">
      <alignment horizontal="center" vertical="center"/>
    </xf>
    <xf numFmtId="4" fontId="48" fillId="0" borderId="9" xfId="11" applyNumberFormat="1" applyFont="1" applyFill="1" applyBorder="1" applyAlignment="1">
      <alignment horizontal="center" vertical="center"/>
    </xf>
    <xf numFmtId="187" fontId="48" fillId="0" borderId="8" xfId="6" applyFont="1" applyFill="1" applyBorder="1" applyAlignment="1">
      <alignment horizontal="center" vertical="center" wrapText="1"/>
    </xf>
    <xf numFmtId="187" fontId="48" fillId="0" borderId="10" xfId="6" applyFont="1" applyFill="1" applyBorder="1" applyAlignment="1">
      <alignment horizontal="center" vertical="center" wrapText="1"/>
    </xf>
    <xf numFmtId="43" fontId="47" fillId="0" borderId="20" xfId="0" applyNumberFormat="1" applyFont="1" applyBorder="1" applyAlignment="1">
      <alignment horizontal="center"/>
    </xf>
    <xf numFmtId="0" fontId="47" fillId="0" borderId="20" xfId="0" applyFont="1" applyBorder="1" applyAlignment="1">
      <alignment vertical="center"/>
    </xf>
    <xf numFmtId="0" fontId="47" fillId="0" borderId="0" xfId="0" applyFont="1"/>
    <xf numFmtId="43" fontId="5" fillId="0" borderId="0" xfId="1" applyFont="1"/>
    <xf numFmtId="43" fontId="5" fillId="0" borderId="0" xfId="0" applyNumberFormat="1" applyFont="1"/>
    <xf numFmtId="43" fontId="47" fillId="0" borderId="20" xfId="0" applyNumberFormat="1" applyFont="1" applyFill="1" applyBorder="1" applyAlignment="1">
      <alignment horizontal="center"/>
    </xf>
    <xf numFmtId="43" fontId="48" fillId="0" borderId="34" xfId="0" applyNumberFormat="1" applyFont="1" applyFill="1" applyBorder="1" applyAlignment="1">
      <alignment horizontal="center"/>
    </xf>
    <xf numFmtId="43" fontId="48" fillId="0" borderId="19" xfId="1" applyFont="1" applyFill="1" applyBorder="1" applyAlignment="1">
      <alignment horizontal="center" vertical="center"/>
    </xf>
    <xf numFmtId="43" fontId="48" fillId="0" borderId="19" xfId="0" applyNumberFormat="1" applyFont="1" applyFill="1" applyBorder="1" applyAlignment="1">
      <alignment horizontal="center" vertical="center"/>
    </xf>
    <xf numFmtId="43" fontId="48" fillId="0" borderId="19" xfId="1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187" fontId="50" fillId="0" borderId="16" xfId="6" applyNumberFormat="1" applyFont="1" applyFill="1" applyBorder="1" applyAlignment="1">
      <alignment vertical="center" shrinkToFit="1"/>
    </xf>
    <xf numFmtId="187" fontId="50" fillId="0" borderId="17" xfId="6" applyNumberFormat="1" applyFont="1" applyFill="1" applyBorder="1" applyAlignment="1">
      <alignment vertical="center" shrinkToFit="1"/>
    </xf>
    <xf numFmtId="49" fontId="48" fillId="0" borderId="10" xfId="6" applyNumberFormat="1" applyFont="1" applyFill="1" applyBorder="1" applyAlignment="1">
      <alignment horizontal="center" vertical="top"/>
    </xf>
    <xf numFmtId="187" fontId="50" fillId="0" borderId="17" xfId="11" applyNumberFormat="1" applyFont="1" applyFill="1" applyBorder="1" applyAlignment="1">
      <alignment vertical="center" shrinkToFit="1"/>
    </xf>
    <xf numFmtId="0" fontId="50" fillId="0" borderId="17" xfId="11" applyFont="1" applyFill="1" applyBorder="1" applyAlignment="1">
      <alignment vertical="center" wrapText="1"/>
    </xf>
    <xf numFmtId="187" fontId="50" fillId="0" borderId="17" xfId="6" applyFont="1" applyFill="1" applyBorder="1" applyAlignment="1">
      <alignment vertical="center" shrinkToFit="1"/>
    </xf>
    <xf numFmtId="4" fontId="66" fillId="0" borderId="0" xfId="11" applyNumberFormat="1" applyFont="1" applyFill="1" applyAlignment="1">
      <alignment vertical="center"/>
    </xf>
    <xf numFmtId="0" fontId="50" fillId="0" borderId="16" xfId="11" applyFont="1" applyFill="1" applyBorder="1" applyAlignment="1">
      <alignment vertical="center" wrapText="1"/>
    </xf>
    <xf numFmtId="43" fontId="50" fillId="0" borderId="16" xfId="6" applyNumberFormat="1" applyFont="1" applyFill="1" applyBorder="1" applyAlignment="1">
      <alignment vertical="center" shrinkToFit="1"/>
    </xf>
    <xf numFmtId="187" fontId="50" fillId="0" borderId="16" xfId="6" applyFont="1" applyFill="1" applyBorder="1" applyAlignment="1">
      <alignment vertical="center" shrinkToFit="1"/>
    </xf>
    <xf numFmtId="187" fontId="50" fillId="0" borderId="16" xfId="11" applyNumberFormat="1" applyFont="1" applyFill="1" applyBorder="1" applyAlignment="1">
      <alignment vertical="center" shrinkToFit="1"/>
    </xf>
    <xf numFmtId="187" fontId="50" fillId="0" borderId="17" xfId="11" applyNumberFormat="1" applyFont="1" applyFill="1" applyBorder="1" applyAlignment="1">
      <alignment horizontal="center" vertical="center" shrinkToFit="1"/>
    </xf>
    <xf numFmtId="43" fontId="50" fillId="0" borderId="17" xfId="6" applyNumberFormat="1" applyFont="1" applyFill="1" applyBorder="1" applyAlignment="1">
      <alignment vertical="center" shrinkToFit="1"/>
    </xf>
    <xf numFmtId="4" fontId="50" fillId="0" borderId="17" xfId="11" applyNumberFormat="1" applyFont="1" applyFill="1" applyBorder="1" applyAlignment="1">
      <alignment vertical="center" shrinkToFit="1"/>
    </xf>
    <xf numFmtId="4" fontId="41" fillId="2" borderId="0" xfId="11" applyNumberFormat="1" applyFont="1" applyFill="1"/>
    <xf numFmtId="0" fontId="4" fillId="0" borderId="49" xfId="2" applyFont="1" applyFill="1" applyBorder="1" applyAlignment="1">
      <alignment vertical="center"/>
    </xf>
    <xf numFmtId="0" fontId="4" fillId="0" borderId="11" xfId="2" applyFont="1" applyFill="1" applyBorder="1" applyAlignment="1"/>
    <xf numFmtId="0" fontId="4" fillId="0" borderId="7" xfId="2" applyFont="1" applyFill="1" applyBorder="1" applyAlignment="1">
      <alignment vertical="center"/>
    </xf>
    <xf numFmtId="4" fontId="0" fillId="0" borderId="0" xfId="0" applyNumberFormat="1"/>
    <xf numFmtId="43" fontId="5" fillId="0" borderId="0" xfId="1" applyFont="1" applyAlignment="1">
      <alignment vertical="center"/>
    </xf>
    <xf numFmtId="43" fontId="0" fillId="0" borderId="0" xfId="1" applyFont="1"/>
    <xf numFmtId="3" fontId="50" fillId="0" borderId="18" xfId="0" applyNumberFormat="1" applyFont="1" applyFill="1" applyBorder="1" applyAlignment="1">
      <alignment horizontal="center" vertical="top" shrinkToFit="1"/>
    </xf>
    <xf numFmtId="0" fontId="65" fillId="0" borderId="0" xfId="0" applyFont="1" applyFill="1" applyAlignment="1">
      <alignment vertical="top"/>
    </xf>
    <xf numFmtId="0" fontId="22" fillId="0" borderId="0" xfId="2" applyFont="1" applyFill="1" applyAlignment="1">
      <alignment horizontal="center" vertical="center"/>
    </xf>
    <xf numFmtId="187" fontId="26" fillId="0" borderId="11" xfId="6" applyFont="1" applyFill="1" applyBorder="1" applyAlignment="1">
      <alignment horizontal="center" vertical="center" wrapText="1"/>
    </xf>
    <xf numFmtId="43" fontId="50" fillId="0" borderId="19" xfId="1" applyFont="1" applyBorder="1" applyAlignment="1">
      <alignment vertical="center"/>
    </xf>
    <xf numFmtId="0" fontId="50" fillId="0" borderId="37" xfId="4" applyFont="1" applyFill="1" applyBorder="1" applyAlignment="1">
      <alignment horizontal="left" vertical="top"/>
    </xf>
    <xf numFmtId="0" fontId="50" fillId="0" borderId="34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vertical="top"/>
    </xf>
    <xf numFmtId="0" fontId="12" fillId="0" borderId="18" xfId="0" applyFont="1" applyFill="1" applyBorder="1" applyAlignment="1">
      <alignment horizontal="center" vertical="top"/>
    </xf>
    <xf numFmtId="0" fontId="28" fillId="0" borderId="20" xfId="2" applyFont="1" applyFill="1" applyBorder="1" applyAlignment="1">
      <alignment vertical="center"/>
    </xf>
    <xf numFmtId="187" fontId="29" fillId="0" borderId="11" xfId="6" applyFont="1" applyFill="1" applyBorder="1" applyAlignment="1">
      <alignment vertical="center" shrinkToFit="1"/>
    </xf>
    <xf numFmtId="0" fontId="29" fillId="0" borderId="18" xfId="2" applyFont="1" applyFill="1" applyBorder="1" applyAlignment="1">
      <alignment vertical="center"/>
    </xf>
    <xf numFmtId="0" fontId="29" fillId="0" borderId="18" xfId="2" applyFont="1" applyFill="1" applyBorder="1" applyAlignment="1">
      <alignment horizontal="left" vertical="center"/>
    </xf>
    <xf numFmtId="0" fontId="29" fillId="0" borderId="18" xfId="2" applyFont="1" applyFill="1" applyBorder="1" applyAlignment="1">
      <alignment horizontal="left" vertical="center" wrapText="1"/>
    </xf>
    <xf numFmtId="0" fontId="29" fillId="0" borderId="18" xfId="2" applyFont="1" applyFill="1" applyBorder="1" applyAlignment="1">
      <alignment vertical="center" wrapText="1"/>
    </xf>
    <xf numFmtId="0" fontId="29" fillId="0" borderId="9" xfId="2" applyFont="1" applyFill="1" applyBorder="1" applyAlignment="1">
      <alignment horizontal="left" vertical="center" wrapText="1"/>
    </xf>
    <xf numFmtId="0" fontId="29" fillId="0" borderId="19" xfId="2" applyFont="1" applyFill="1" applyBorder="1" applyAlignment="1">
      <alignment vertical="center" wrapText="1" shrinkToFit="1"/>
    </xf>
    <xf numFmtId="0" fontId="29" fillId="0" borderId="10" xfId="2" applyFont="1" applyFill="1" applyBorder="1" applyAlignment="1">
      <alignment horizontal="left" vertical="center" wrapText="1" shrinkToFit="1"/>
    </xf>
    <xf numFmtId="0" fontId="50" fillId="0" borderId="26" xfId="4" applyFont="1" applyFill="1" applyBorder="1" applyAlignment="1">
      <alignment vertical="top"/>
    </xf>
    <xf numFmtId="0" fontId="50" fillId="0" borderId="19" xfId="0" applyFont="1" applyFill="1" applyBorder="1" applyAlignment="1">
      <alignment horizontal="center" vertical="top" wrapText="1"/>
    </xf>
    <xf numFmtId="0" fontId="25" fillId="0" borderId="50" xfId="2" applyFont="1" applyFill="1" applyBorder="1" applyAlignment="1">
      <alignment vertical="center"/>
    </xf>
    <xf numFmtId="187" fontId="29" fillId="0" borderId="47" xfId="6" applyFont="1" applyFill="1" applyBorder="1" applyAlignment="1">
      <alignment vertical="center" shrinkToFit="1"/>
    </xf>
    <xf numFmtId="1" fontId="29" fillId="0" borderId="47" xfId="6" applyNumberFormat="1" applyFont="1" applyFill="1" applyBorder="1" applyAlignment="1">
      <alignment horizontal="center" vertical="center" shrinkToFit="1"/>
    </xf>
    <xf numFmtId="187" fontId="29" fillId="0" borderId="47" xfId="0" applyNumberFormat="1" applyFont="1" applyFill="1" applyBorder="1" applyAlignment="1">
      <alignment vertical="center" shrinkToFit="1"/>
    </xf>
    <xf numFmtId="0" fontId="29" fillId="0" borderId="47" xfId="0" applyFont="1" applyFill="1" applyBorder="1" applyAlignment="1">
      <alignment horizontal="center" vertical="center" shrinkToFit="1"/>
    </xf>
    <xf numFmtId="0" fontId="29" fillId="0" borderId="47" xfId="0" applyFont="1" applyFill="1" applyBorder="1" applyAlignment="1">
      <alignment horizontal="center" vertical="center"/>
    </xf>
    <xf numFmtId="43" fontId="29" fillId="0" borderId="47" xfId="1" applyFont="1" applyFill="1" applyBorder="1" applyAlignment="1">
      <alignment vertical="center" shrinkToFit="1"/>
    </xf>
    <xf numFmtId="187" fontId="29" fillId="0" borderId="50" xfId="6" applyNumberFormat="1" applyFont="1" applyFill="1" applyBorder="1" applyAlignment="1">
      <alignment vertical="center" shrinkToFit="1"/>
    </xf>
    <xf numFmtId="187" fontId="29" fillId="0" borderId="52" xfId="6" applyFont="1" applyFill="1" applyBorder="1" applyAlignment="1">
      <alignment vertical="center" shrinkToFit="1"/>
    </xf>
    <xf numFmtId="0" fontId="29" fillId="0" borderId="51" xfId="2" applyFont="1" applyFill="1" applyBorder="1" applyAlignment="1">
      <alignment horizontal="left" vertical="top" wrapText="1"/>
    </xf>
    <xf numFmtId="0" fontId="29" fillId="0" borderId="18" xfId="2" applyFont="1" applyFill="1" applyBorder="1" applyAlignment="1">
      <alignment horizontal="left" vertical="top" wrapText="1"/>
    </xf>
    <xf numFmtId="0" fontId="29" fillId="0" borderId="34" xfId="0" applyFont="1" applyFill="1" applyBorder="1" applyAlignment="1">
      <alignment vertical="top"/>
    </xf>
    <xf numFmtId="43" fontId="29" fillId="0" borderId="34" xfId="1" applyFont="1" applyFill="1" applyBorder="1" applyAlignment="1">
      <alignment vertical="top" shrinkToFit="1"/>
    </xf>
    <xf numFmtId="187" fontId="29" fillId="0" borderId="34" xfId="6" applyNumberFormat="1" applyFont="1" applyFill="1" applyBorder="1" applyAlignment="1">
      <alignment vertical="top" shrinkToFit="1"/>
    </xf>
    <xf numFmtId="187" fontId="29" fillId="0" borderId="34" xfId="6" applyFont="1" applyFill="1" applyBorder="1" applyAlignment="1">
      <alignment vertical="top" shrinkToFit="1"/>
    </xf>
    <xf numFmtId="187" fontId="29" fillId="0" borderId="47" xfId="6" applyFont="1" applyFill="1" applyBorder="1" applyAlignment="1">
      <alignment horizontal="center" vertical="center" shrinkToFit="1"/>
    </xf>
    <xf numFmtId="49" fontId="29" fillId="0" borderId="34" xfId="1" applyNumberFormat="1" applyFont="1" applyFill="1" applyBorder="1" applyAlignment="1">
      <alignment horizontal="center" vertical="center" wrapText="1"/>
    </xf>
    <xf numFmtId="49" fontId="29" fillId="0" borderId="34" xfId="1" applyNumberFormat="1" applyFont="1" applyFill="1" applyBorder="1" applyAlignment="1">
      <alignment horizontal="center" vertical="center" shrinkToFit="1"/>
    </xf>
    <xf numFmtId="49" fontId="29" fillId="0" borderId="34" xfId="1" applyNumberFormat="1" applyFont="1" applyFill="1" applyBorder="1" applyAlignment="1">
      <alignment horizontal="center" vertical="center"/>
    </xf>
    <xf numFmtId="49" fontId="29" fillId="0" borderId="34" xfId="6" applyNumberFormat="1" applyFont="1" applyFill="1" applyBorder="1" applyAlignment="1">
      <alignment horizontal="center" vertical="center" shrinkToFit="1"/>
    </xf>
    <xf numFmtId="187" fontId="29" fillId="0" borderId="10" xfId="0" applyNumberFormat="1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/>
    </xf>
    <xf numFmtId="43" fontId="29" fillId="0" borderId="10" xfId="1" applyFont="1" applyFill="1" applyBorder="1" applyAlignment="1">
      <alignment horizontal="center" vertical="center" shrinkToFit="1"/>
    </xf>
    <xf numFmtId="187" fontId="29" fillId="0" borderId="10" xfId="6" applyNumberFormat="1" applyFont="1" applyFill="1" applyBorder="1" applyAlignment="1">
      <alignment horizontal="center" vertical="center" shrinkToFit="1"/>
    </xf>
    <xf numFmtId="187" fontId="29" fillId="0" borderId="10" xfId="6" applyFont="1" applyFill="1" applyBorder="1" applyAlignment="1">
      <alignment horizontal="center" vertical="center" shrinkToFit="1"/>
    </xf>
    <xf numFmtId="0" fontId="29" fillId="0" borderId="34" xfId="2" applyFont="1" applyFill="1" applyBorder="1" applyAlignment="1">
      <alignment horizontal="center" vertical="top"/>
    </xf>
    <xf numFmtId="43" fontId="29" fillId="0" borderId="20" xfId="1" applyFont="1" applyFill="1" applyBorder="1" applyAlignment="1">
      <alignment vertical="center" shrinkToFit="1"/>
    </xf>
    <xf numFmtId="43" fontId="29" fillId="0" borderId="18" xfId="1" applyFont="1" applyFill="1" applyBorder="1" applyAlignment="1">
      <alignment vertical="center"/>
    </xf>
    <xf numFmtId="43" fontId="29" fillId="0" borderId="0" xfId="1" applyFont="1" applyFill="1" applyAlignment="1">
      <alignment vertical="center"/>
    </xf>
    <xf numFmtId="0" fontId="29" fillId="0" borderId="34" xfId="0" applyFont="1" applyFill="1" applyBorder="1" applyAlignment="1">
      <alignment horizontal="center" vertical="top" shrinkToFit="1"/>
    </xf>
    <xf numFmtId="187" fontId="29" fillId="0" borderId="7" xfId="6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 shrinkToFit="1"/>
    </xf>
    <xf numFmtId="3" fontId="29" fillId="0" borderId="18" xfId="0" applyNumberFormat="1" applyFont="1" applyFill="1" applyBorder="1" applyAlignment="1">
      <alignment horizontal="center" vertical="center" shrinkToFit="1"/>
    </xf>
    <xf numFmtId="49" fontId="29" fillId="0" borderId="18" xfId="1" applyNumberFormat="1" applyFont="1" applyFill="1" applyBorder="1" applyAlignment="1">
      <alignment horizontal="center" vertical="center" shrinkToFit="1"/>
    </xf>
    <xf numFmtId="49" fontId="29" fillId="0" borderId="19" xfId="1" applyNumberFormat="1" applyFont="1" applyFill="1" applyBorder="1" applyAlignment="1">
      <alignment horizontal="center" vertical="center" shrinkToFit="1"/>
    </xf>
    <xf numFmtId="49" fontId="29" fillId="0" borderId="10" xfId="1" applyNumberFormat="1" applyFont="1" applyFill="1" applyBorder="1" applyAlignment="1">
      <alignment horizontal="center" vertical="center" wrapText="1" shrinkToFit="1"/>
    </xf>
    <xf numFmtId="49" fontId="29" fillId="0" borderId="18" xfId="1" applyNumberFormat="1" applyFont="1" applyFill="1" applyBorder="1" applyAlignment="1">
      <alignment horizontal="center" vertical="center" wrapText="1" shrinkToFit="1"/>
    </xf>
    <xf numFmtId="187" fontId="29" fillId="0" borderId="18" xfId="6" applyNumberFormat="1" applyFont="1" applyFill="1" applyBorder="1" applyAlignment="1">
      <alignment vertical="center" shrinkToFit="1"/>
    </xf>
    <xf numFmtId="0" fontId="50" fillId="0" borderId="18" xfId="2" applyFont="1" applyFill="1" applyBorder="1" applyAlignment="1">
      <alignment horizontal="left" vertical="top" wrapText="1"/>
    </xf>
    <xf numFmtId="43" fontId="50" fillId="0" borderId="18" xfId="2" applyNumberFormat="1" applyFont="1" applyFill="1" applyBorder="1" applyAlignment="1">
      <alignment horizontal="right" vertical="center" shrinkToFit="1"/>
    </xf>
    <xf numFmtId="0" fontId="50" fillId="0" borderId="18" xfId="2" applyFont="1" applyFill="1" applyBorder="1" applyAlignment="1">
      <alignment horizontal="center" vertical="center"/>
    </xf>
    <xf numFmtId="0" fontId="50" fillId="0" borderId="18" xfId="2" applyFont="1" applyFill="1" applyBorder="1" applyAlignment="1">
      <alignment horizontal="center" vertical="center" wrapText="1"/>
    </xf>
    <xf numFmtId="187" fontId="50" fillId="0" borderId="18" xfId="6" applyNumberFormat="1" applyFont="1" applyFill="1" applyBorder="1" applyAlignment="1">
      <alignment vertical="center" shrinkToFit="1"/>
    </xf>
    <xf numFmtId="0" fontId="27" fillId="0" borderId="0" xfId="2" applyFont="1" applyFill="1" applyAlignment="1">
      <alignment vertical="top"/>
    </xf>
    <xf numFmtId="0" fontId="50" fillId="0" borderId="34" xfId="2" applyFont="1" applyFill="1" applyBorder="1" applyAlignment="1">
      <alignment horizontal="left" vertical="top" wrapText="1"/>
    </xf>
    <xf numFmtId="187" fontId="50" fillId="0" borderId="34" xfId="6" applyFont="1" applyFill="1" applyBorder="1" applyAlignment="1">
      <alignment vertical="center" shrinkToFit="1"/>
    </xf>
    <xf numFmtId="43" fontId="50" fillId="0" borderId="34" xfId="2" applyNumberFormat="1" applyFont="1" applyFill="1" applyBorder="1" applyAlignment="1">
      <alignment horizontal="right" vertical="center" shrinkToFit="1"/>
    </xf>
    <xf numFmtId="0" fontId="50" fillId="0" borderId="34" xfId="2" applyFont="1" applyFill="1" applyBorder="1" applyAlignment="1">
      <alignment horizontal="center" vertical="center"/>
    </xf>
    <xf numFmtId="187" fontId="50" fillId="0" borderId="34" xfId="6" applyNumberFormat="1" applyFont="1" applyFill="1" applyBorder="1" applyAlignment="1">
      <alignment vertical="center" shrinkToFit="1"/>
    </xf>
    <xf numFmtId="187" fontId="50" fillId="0" borderId="34" xfId="0" applyNumberFormat="1" applyFont="1" applyFill="1" applyBorder="1" applyAlignment="1">
      <alignment vertical="center" shrinkToFit="1"/>
    </xf>
    <xf numFmtId="187" fontId="50" fillId="0" borderId="34" xfId="6" applyFont="1" applyFill="1" applyBorder="1" applyAlignment="1">
      <alignment horizontal="right" vertical="center" shrinkToFit="1"/>
    </xf>
    <xf numFmtId="0" fontId="50" fillId="0" borderId="34" xfId="0" applyFont="1" applyFill="1" applyBorder="1" applyAlignment="1">
      <alignment horizontal="center" vertical="center"/>
    </xf>
    <xf numFmtId="187" fontId="50" fillId="0" borderId="34" xfId="6" applyFont="1" applyFill="1" applyBorder="1" applyAlignment="1">
      <alignment horizontal="center" vertical="center" shrinkToFit="1"/>
    </xf>
    <xf numFmtId="187" fontId="50" fillId="0" borderId="34" xfId="0" applyNumberFormat="1" applyFont="1" applyFill="1" applyBorder="1" applyAlignment="1">
      <alignment horizontal="center" vertical="center" shrinkToFit="1"/>
    </xf>
    <xf numFmtId="0" fontId="59" fillId="0" borderId="20" xfId="6" applyNumberFormat="1" applyFont="1" applyFill="1" applyBorder="1" applyAlignment="1">
      <alignment vertical="center" shrinkToFit="1"/>
    </xf>
    <xf numFmtId="49" fontId="50" fillId="0" borderId="18" xfId="6" applyNumberFormat="1" applyFont="1" applyFill="1" applyBorder="1" applyAlignment="1">
      <alignment horizontal="center" vertical="center" shrinkToFit="1"/>
    </xf>
    <xf numFmtId="49" fontId="50" fillId="0" borderId="18" xfId="1" applyNumberFormat="1" applyFont="1" applyFill="1" applyBorder="1" applyAlignment="1">
      <alignment horizontal="center" vertical="center" shrinkToFit="1"/>
    </xf>
    <xf numFmtId="49" fontId="50" fillId="0" borderId="18" xfId="0" applyNumberFormat="1" applyFont="1" applyFill="1" applyBorder="1" applyAlignment="1">
      <alignment horizontal="center" vertical="center" shrinkToFit="1"/>
    </xf>
    <xf numFmtId="49" fontId="50" fillId="0" borderId="18" xfId="0" applyNumberFormat="1" applyFont="1" applyFill="1" applyBorder="1" applyAlignment="1">
      <alignment horizontal="center" vertical="center"/>
    </xf>
    <xf numFmtId="0" fontId="50" fillId="0" borderId="19" xfId="2" applyFont="1" applyFill="1" applyBorder="1" applyAlignment="1">
      <alignment horizontal="left" vertical="top" wrapText="1"/>
    </xf>
    <xf numFmtId="187" fontId="50" fillId="0" borderId="19" xfId="6" applyFont="1" applyFill="1" applyBorder="1" applyAlignment="1">
      <alignment vertical="center" shrinkToFit="1"/>
    </xf>
    <xf numFmtId="43" fontId="50" fillId="0" borderId="19" xfId="2" applyNumberFormat="1" applyFont="1" applyFill="1" applyBorder="1" applyAlignment="1">
      <alignment horizontal="right" vertical="center" shrinkToFit="1"/>
    </xf>
    <xf numFmtId="0" fontId="50" fillId="0" borderId="19" xfId="2" applyFont="1" applyFill="1" applyBorder="1" applyAlignment="1">
      <alignment horizontal="center" vertical="center"/>
    </xf>
    <xf numFmtId="187" fontId="50" fillId="0" borderId="19" xfId="6" applyNumberFormat="1" applyFont="1" applyFill="1" applyBorder="1" applyAlignment="1">
      <alignment vertical="center" shrinkToFit="1"/>
    </xf>
    <xf numFmtId="187" fontId="50" fillId="0" borderId="19" xfId="6" applyNumberFormat="1" applyFont="1" applyFill="1" applyBorder="1" applyAlignment="1">
      <alignment horizontal="center" vertical="center" shrinkToFit="1"/>
    </xf>
    <xf numFmtId="187" fontId="50" fillId="0" borderId="19" xfId="0" applyNumberFormat="1" applyFont="1" applyFill="1" applyBorder="1" applyAlignment="1">
      <alignment horizontal="center" vertical="center" shrinkToFit="1"/>
    </xf>
    <xf numFmtId="187" fontId="50" fillId="0" borderId="19" xfId="6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/>
    </xf>
    <xf numFmtId="43" fontId="50" fillId="0" borderId="34" xfId="1" applyFont="1" applyFill="1" applyBorder="1" applyAlignment="1">
      <alignment horizontal="center" vertical="center" shrinkToFit="1"/>
    </xf>
    <xf numFmtId="0" fontId="50" fillId="0" borderId="34" xfId="2" applyFont="1" applyFill="1" applyBorder="1" applyAlignment="1">
      <alignment horizontal="left" vertical="center" wrapText="1"/>
    </xf>
    <xf numFmtId="43" fontId="50" fillId="0" borderId="34" xfId="6" applyNumberFormat="1" applyFont="1" applyFill="1" applyBorder="1" applyAlignment="1">
      <alignment vertical="center" shrinkToFit="1"/>
    </xf>
    <xf numFmtId="0" fontId="27" fillId="0" borderId="0" xfId="2" applyFont="1" applyFill="1" applyAlignment="1">
      <alignment vertical="center"/>
    </xf>
    <xf numFmtId="0" fontId="50" fillId="0" borderId="47" xfId="2" applyFont="1" applyFill="1" applyBorder="1" applyAlignment="1">
      <alignment horizontal="left" vertical="center" wrapText="1"/>
    </xf>
    <xf numFmtId="187" fontId="50" fillId="0" borderId="47" xfId="6" applyFont="1" applyFill="1" applyBorder="1" applyAlignment="1">
      <alignment vertical="center" shrinkToFit="1"/>
    </xf>
    <xf numFmtId="43" fontId="50" fillId="0" borderId="47" xfId="2" applyNumberFormat="1" applyFont="1" applyFill="1" applyBorder="1" applyAlignment="1">
      <alignment horizontal="right" vertical="center" shrinkToFit="1"/>
    </xf>
    <xf numFmtId="0" fontId="50" fillId="0" borderId="47" xfId="2" applyFont="1" applyFill="1" applyBorder="1" applyAlignment="1">
      <alignment horizontal="center" vertical="center"/>
    </xf>
    <xf numFmtId="0" fontId="50" fillId="0" borderId="47" xfId="6" applyNumberFormat="1" applyFont="1" applyFill="1" applyBorder="1" applyAlignment="1">
      <alignment vertical="center" shrinkToFit="1"/>
    </xf>
    <xf numFmtId="187" fontId="50" fillId="0" borderId="47" xfId="0" applyNumberFormat="1" applyFont="1" applyFill="1" applyBorder="1" applyAlignment="1">
      <alignment vertical="center" shrinkToFit="1"/>
    </xf>
    <xf numFmtId="187" fontId="50" fillId="0" borderId="47" xfId="6" applyFont="1" applyFill="1" applyBorder="1" applyAlignment="1">
      <alignment horizontal="right" vertical="center" shrinkToFit="1"/>
    </xf>
    <xf numFmtId="0" fontId="50" fillId="0" borderId="47" xfId="0" applyFont="1" applyFill="1" applyBorder="1" applyAlignment="1">
      <alignment horizontal="center" vertical="center"/>
    </xf>
    <xf numFmtId="187" fontId="50" fillId="0" borderId="47" xfId="6" applyFont="1" applyFill="1" applyBorder="1" applyAlignment="1">
      <alignment horizontal="center" vertical="center" shrinkToFit="1"/>
    </xf>
    <xf numFmtId="187" fontId="29" fillId="0" borderId="50" xfId="6" applyFont="1" applyFill="1" applyBorder="1" applyAlignment="1">
      <alignment vertical="center" shrinkToFit="1"/>
    </xf>
    <xf numFmtId="187" fontId="29" fillId="0" borderId="36" xfId="6" applyFont="1" applyFill="1" applyBorder="1" applyAlignment="1">
      <alignment vertical="center" shrinkToFit="1"/>
    </xf>
    <xf numFmtId="187" fontId="29" fillId="0" borderId="42" xfId="6" applyFont="1" applyFill="1" applyBorder="1" applyAlignment="1">
      <alignment vertical="center" shrinkToFit="1"/>
    </xf>
    <xf numFmtId="187" fontId="29" fillId="0" borderId="14" xfId="6" applyFont="1" applyFill="1" applyBorder="1" applyAlignment="1">
      <alignment vertical="center" shrinkToFit="1"/>
    </xf>
    <xf numFmtId="187" fontId="29" fillId="0" borderId="24" xfId="6" applyFont="1" applyFill="1" applyBorder="1" applyAlignment="1">
      <alignment vertical="center" shrinkToFit="1"/>
    </xf>
    <xf numFmtId="0" fontId="29" fillId="0" borderId="21" xfId="6" applyNumberFormat="1" applyFont="1" applyFill="1" applyBorder="1" applyAlignment="1">
      <alignment vertical="center" shrinkToFit="1"/>
    </xf>
    <xf numFmtId="49" fontId="64" fillId="0" borderId="18" xfId="9" applyNumberFormat="1" applyFont="1" applyFill="1" applyBorder="1" applyAlignment="1">
      <alignment horizontal="center" vertical="center" shrinkToFit="1"/>
    </xf>
    <xf numFmtId="49" fontId="59" fillId="0" borderId="18" xfId="6" applyNumberFormat="1" applyFont="1" applyFill="1" applyBorder="1" applyAlignment="1">
      <alignment horizontal="center" vertical="center" shrinkToFit="1"/>
    </xf>
    <xf numFmtId="43" fontId="59" fillId="0" borderId="18" xfId="6" applyNumberFormat="1" applyFont="1" applyFill="1" applyBorder="1" applyAlignment="1">
      <alignment horizontal="center" vertical="center" shrinkToFit="1"/>
    </xf>
    <xf numFmtId="43" fontId="64" fillId="0" borderId="18" xfId="1" applyFont="1" applyFill="1" applyBorder="1" applyAlignment="1">
      <alignment horizontal="center" vertical="center" shrinkToFit="1"/>
    </xf>
    <xf numFmtId="43" fontId="50" fillId="0" borderId="18" xfId="1" applyFont="1" applyFill="1" applyBorder="1" applyAlignment="1">
      <alignment horizontal="center" vertical="center" shrinkToFit="1"/>
    </xf>
    <xf numFmtId="0" fontId="12" fillId="0" borderId="18" xfId="2" applyFont="1" applyFill="1" applyBorder="1" applyAlignment="1">
      <alignment vertical="top" wrapText="1"/>
    </xf>
    <xf numFmtId="0" fontId="12" fillId="0" borderId="19" xfId="2" applyFont="1" applyFill="1" applyBorder="1" applyAlignment="1">
      <alignment vertical="center" wrapText="1"/>
    </xf>
    <xf numFmtId="43" fontId="12" fillId="0" borderId="19" xfId="1" applyFont="1" applyFill="1" applyBorder="1" applyAlignment="1">
      <alignment horizontal="center" vertical="center" wrapText="1"/>
    </xf>
    <xf numFmtId="4" fontId="43" fillId="0" borderId="0" xfId="11" applyNumberFormat="1" applyFont="1" applyFill="1" applyAlignment="1">
      <alignment horizontal="center" vertical="center"/>
    </xf>
    <xf numFmtId="43" fontId="50" fillId="0" borderId="47" xfId="1" applyFont="1" applyFill="1" applyBorder="1" applyAlignment="1">
      <alignment vertical="center" shrinkToFit="1"/>
    </xf>
    <xf numFmtId="43" fontId="59" fillId="0" borderId="18" xfId="1" applyFont="1" applyFill="1" applyBorder="1" applyAlignment="1">
      <alignment vertical="center" shrinkToFit="1"/>
    </xf>
    <xf numFmtId="0" fontId="51" fillId="0" borderId="10" xfId="0" applyFont="1" applyFill="1" applyBorder="1" applyAlignment="1">
      <alignment horizontal="left" vertical="top"/>
    </xf>
    <xf numFmtId="0" fontId="51" fillId="0" borderId="10" xfId="4" applyFont="1" applyFill="1" applyBorder="1" applyAlignment="1">
      <alignment horizontal="left" vertical="top"/>
    </xf>
    <xf numFmtId="0" fontId="51" fillId="0" borderId="10" xfId="0" applyFont="1" applyFill="1" applyBorder="1" applyAlignment="1">
      <alignment vertical="top"/>
    </xf>
    <xf numFmtId="187" fontId="50" fillId="0" borderId="10" xfId="0" applyNumberFormat="1" applyFont="1" applyFill="1" applyBorder="1" applyAlignment="1">
      <alignment vertical="top" shrinkToFit="1"/>
    </xf>
    <xf numFmtId="0" fontId="51" fillId="0" borderId="10" xfId="0" applyFont="1" applyFill="1" applyBorder="1" applyAlignment="1">
      <alignment horizontal="center" vertical="top" shrinkToFit="1"/>
    </xf>
    <xf numFmtId="0" fontId="51" fillId="0" borderId="10" xfId="0" applyFont="1" applyFill="1" applyBorder="1" applyAlignment="1">
      <alignment horizontal="center" vertical="top"/>
    </xf>
    <xf numFmtId="43" fontId="50" fillId="0" borderId="10" xfId="1" applyFont="1" applyFill="1" applyBorder="1" applyAlignment="1">
      <alignment vertical="top" shrinkToFit="1"/>
    </xf>
    <xf numFmtId="3" fontId="50" fillId="0" borderId="34" xfId="0" applyNumberFormat="1" applyFont="1" applyFill="1" applyBorder="1" applyAlignment="1">
      <alignment horizontal="center" vertical="top" shrinkToFit="1"/>
    </xf>
    <xf numFmtId="0" fontId="50" fillId="0" borderId="42" xfId="4" applyFont="1" applyFill="1" applyBorder="1" applyAlignment="1">
      <alignment horizontal="left" vertical="top"/>
    </xf>
    <xf numFmtId="0" fontId="50" fillId="0" borderId="43" xfId="4" applyFont="1" applyFill="1" applyBorder="1" applyAlignment="1">
      <alignment vertical="top"/>
    </xf>
    <xf numFmtId="0" fontId="50" fillId="0" borderId="9" xfId="0" applyFont="1" applyFill="1" applyBorder="1" applyAlignment="1">
      <alignment vertical="top"/>
    </xf>
    <xf numFmtId="187" fontId="50" fillId="0" borderId="9" xfId="0" applyNumberFormat="1" applyFont="1" applyFill="1" applyBorder="1" applyAlignment="1">
      <alignment vertical="top" shrinkToFit="1"/>
    </xf>
    <xf numFmtId="0" fontId="50" fillId="0" borderId="9" xfId="0" applyFont="1" applyFill="1" applyBorder="1" applyAlignment="1">
      <alignment horizontal="center" vertical="top" shrinkToFit="1"/>
    </xf>
    <xf numFmtId="0" fontId="50" fillId="0" borderId="9" xfId="0" applyFont="1" applyFill="1" applyBorder="1" applyAlignment="1">
      <alignment horizontal="center" vertical="top"/>
    </xf>
    <xf numFmtId="43" fontId="50" fillId="0" borderId="9" xfId="1" applyFont="1" applyFill="1" applyBorder="1" applyAlignment="1">
      <alignment vertical="top" shrinkToFit="1"/>
    </xf>
    <xf numFmtId="0" fontId="5" fillId="0" borderId="0" xfId="0" applyFont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4" fontId="4" fillId="0" borderId="32" xfId="2" applyNumberFormat="1" applyFont="1" applyFill="1" applyBorder="1" applyAlignment="1">
      <alignment horizontal="right" vertical="center" shrinkToFit="1"/>
    </xf>
    <xf numFmtId="4" fontId="4" fillId="0" borderId="33" xfId="2" applyNumberFormat="1" applyFont="1" applyFill="1" applyBorder="1" applyAlignment="1">
      <alignment horizontal="right" vertical="center" shrinkToFit="1"/>
    </xf>
    <xf numFmtId="4" fontId="5" fillId="0" borderId="5" xfId="0" applyNumberFormat="1" applyFont="1" applyBorder="1" applyAlignment="1">
      <alignment horizontal="right" vertical="center" shrinkToFit="1"/>
    </xf>
    <xf numFmtId="4" fontId="5" fillId="0" borderId="6" xfId="0" applyNumberFormat="1" applyFont="1" applyBorder="1" applyAlignment="1">
      <alignment horizontal="right" vertical="center" shrinkToFit="1"/>
    </xf>
    <xf numFmtId="0" fontId="4" fillId="0" borderId="40" xfId="2" applyFont="1" applyFill="1" applyBorder="1" applyAlignment="1">
      <alignment horizontal="left" vertical="center" wrapText="1"/>
    </xf>
    <xf numFmtId="0" fontId="4" fillId="0" borderId="41" xfId="2" applyFont="1" applyFill="1" applyBorder="1" applyAlignment="1">
      <alignment horizontal="left" vertical="center" wrapText="1"/>
    </xf>
    <xf numFmtId="4" fontId="4" fillId="0" borderId="44" xfId="2" applyNumberFormat="1" applyFont="1" applyFill="1" applyBorder="1" applyAlignment="1">
      <alignment horizontal="right" vertical="center" shrinkToFit="1"/>
    </xf>
    <xf numFmtId="0" fontId="4" fillId="0" borderId="45" xfId="2" applyFont="1" applyFill="1" applyBorder="1" applyAlignment="1">
      <alignment horizontal="left" vertical="center"/>
    </xf>
    <xf numFmtId="0" fontId="4" fillId="0" borderId="46" xfId="2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top"/>
    </xf>
    <xf numFmtId="0" fontId="50" fillId="0" borderId="11" xfId="0" applyFont="1" applyFill="1" applyBorder="1" applyAlignment="1">
      <alignment horizontal="right" vertical="top"/>
    </xf>
    <xf numFmtId="0" fontId="50" fillId="0" borderId="12" xfId="0" applyFont="1" applyFill="1" applyBorder="1" applyAlignment="1">
      <alignment horizontal="right" vertical="top"/>
    </xf>
    <xf numFmtId="0" fontId="50" fillId="0" borderId="13" xfId="0" applyFont="1" applyFill="1" applyBorder="1" applyAlignment="1">
      <alignment horizontal="right" vertical="top"/>
    </xf>
    <xf numFmtId="0" fontId="9" fillId="0" borderId="7" xfId="0" applyFont="1" applyFill="1" applyBorder="1" applyAlignment="1">
      <alignment horizontal="center" vertical="top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43" fontId="27" fillId="0" borderId="0" xfId="1" applyFont="1" applyFill="1" applyAlignment="1">
      <alignment horizontal="center" vertical="center"/>
    </xf>
    <xf numFmtId="0" fontId="28" fillId="0" borderId="14" xfId="2" applyFont="1" applyFill="1" applyBorder="1" applyAlignment="1">
      <alignment horizontal="left" vertical="center"/>
    </xf>
    <xf numFmtId="0" fontId="28" fillId="0" borderId="0" xfId="2" applyFont="1" applyFill="1" applyBorder="1" applyAlignment="1">
      <alignment horizontal="left" vertical="center"/>
    </xf>
    <xf numFmtId="0" fontId="29" fillId="0" borderId="11" xfId="2" applyFont="1" applyFill="1" applyBorder="1" applyAlignment="1">
      <alignment horizontal="right" vertical="center"/>
    </xf>
    <xf numFmtId="0" fontId="29" fillId="0" borderId="12" xfId="2" applyFont="1" applyFill="1" applyBorder="1" applyAlignment="1">
      <alignment horizontal="right" vertical="center"/>
    </xf>
    <xf numFmtId="43" fontId="24" fillId="0" borderId="0" xfId="1" applyFont="1" applyFill="1" applyAlignment="1">
      <alignment horizontal="center" vertical="center"/>
    </xf>
    <xf numFmtId="43" fontId="24" fillId="0" borderId="0" xfId="2" applyNumberFormat="1" applyFont="1" applyFill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187" fontId="22" fillId="0" borderId="4" xfId="6" applyFont="1" applyFill="1" applyBorder="1" applyAlignment="1">
      <alignment horizontal="right" vertical="center"/>
    </xf>
    <xf numFmtId="0" fontId="26" fillId="0" borderId="7" xfId="2" applyFont="1" applyFill="1" applyBorder="1" applyAlignment="1">
      <alignment horizontal="center" vertical="center"/>
    </xf>
    <xf numFmtId="0" fontId="26" fillId="0" borderId="11" xfId="2" applyFont="1" applyFill="1" applyBorder="1" applyAlignment="1">
      <alignment horizontal="center" vertical="center"/>
    </xf>
    <xf numFmtId="0" fontId="24" fillId="0" borderId="7" xfId="2" applyFont="1" applyFill="1" applyBorder="1" applyAlignment="1">
      <alignment horizontal="center" vertical="center" textRotation="90"/>
    </xf>
    <xf numFmtId="187" fontId="26" fillId="0" borderId="13" xfId="6" applyFont="1" applyFill="1" applyBorder="1" applyAlignment="1">
      <alignment horizontal="center" vertical="center" wrapText="1"/>
    </xf>
    <xf numFmtId="187" fontId="26" fillId="0" borderId="7" xfId="6" applyFont="1" applyFill="1" applyBorder="1" applyAlignment="1">
      <alignment horizontal="center" vertical="center" wrapText="1"/>
    </xf>
    <xf numFmtId="187" fontId="26" fillId="0" borderId="11" xfId="6" applyFont="1" applyFill="1" applyBorder="1" applyAlignment="1">
      <alignment horizontal="center" vertical="center" wrapText="1"/>
    </xf>
    <xf numFmtId="0" fontId="29" fillId="0" borderId="7" xfId="2" applyFont="1" applyFill="1" applyBorder="1" applyAlignment="1">
      <alignment horizontal="center" vertical="center"/>
    </xf>
    <xf numFmtId="0" fontId="26" fillId="0" borderId="7" xfId="2" applyFont="1" applyFill="1" applyBorder="1" applyAlignment="1">
      <alignment horizontal="center" vertical="center" wrapText="1"/>
    </xf>
    <xf numFmtId="0" fontId="35" fillId="0" borderId="0" xfId="2" applyFont="1" applyFill="1" applyAlignment="1">
      <alignment horizontal="center" vertical="center"/>
    </xf>
    <xf numFmtId="187" fontId="19" fillId="0" borderId="0" xfId="6" applyFont="1" applyFill="1" applyBorder="1" applyAlignment="1">
      <alignment horizontal="center"/>
    </xf>
    <xf numFmtId="0" fontId="35" fillId="0" borderId="8" xfId="2" applyFont="1" applyFill="1" applyBorder="1" applyAlignment="1">
      <alignment horizontal="center" vertical="center"/>
    </xf>
    <xf numFmtId="0" fontId="35" fillId="0" borderId="9" xfId="2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/>
    </xf>
    <xf numFmtId="0" fontId="20" fillId="0" borderId="13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20" fillId="0" borderId="11" xfId="2" applyFont="1" applyFill="1" applyBorder="1" applyAlignment="1">
      <alignment horizontal="center" vertical="center"/>
    </xf>
    <xf numFmtId="0" fontId="15" fillId="0" borderId="11" xfId="2" applyFont="1" applyFill="1" applyBorder="1" applyAlignment="1">
      <alignment horizontal="center" vertical="top" wrapText="1"/>
    </xf>
    <xf numFmtId="0" fontId="15" fillId="0" borderId="12" xfId="2" applyFont="1" applyFill="1" applyBorder="1" applyAlignment="1">
      <alignment horizontal="center" vertical="top"/>
    </xf>
    <xf numFmtId="0" fontId="15" fillId="0" borderId="13" xfId="2" applyFont="1" applyFill="1" applyBorder="1" applyAlignment="1">
      <alignment horizontal="center" vertical="top"/>
    </xf>
    <xf numFmtId="0" fontId="53" fillId="0" borderId="0" xfId="2" applyFont="1" applyFill="1" applyAlignment="1">
      <alignment horizontal="center"/>
    </xf>
    <xf numFmtId="0" fontId="53" fillId="0" borderId="0" xfId="2" applyFont="1" applyFill="1" applyBorder="1" applyAlignment="1">
      <alignment horizontal="right"/>
    </xf>
    <xf numFmtId="187" fontId="38" fillId="0" borderId="4" xfId="6" applyFont="1" applyFill="1" applyBorder="1" applyAlignment="1">
      <alignment horizontal="right"/>
    </xf>
    <xf numFmtId="0" fontId="54" fillId="0" borderId="8" xfId="2" applyFont="1" applyFill="1" applyBorder="1" applyAlignment="1">
      <alignment horizontal="center" vertical="center"/>
    </xf>
    <xf numFmtId="0" fontId="54" fillId="0" borderId="9" xfId="2" applyFont="1" applyFill="1" applyBorder="1" applyAlignment="1">
      <alignment horizontal="center" vertical="center"/>
    </xf>
    <xf numFmtId="0" fontId="54" fillId="0" borderId="7" xfId="2" applyFont="1" applyFill="1" applyBorder="1" applyAlignment="1">
      <alignment horizontal="center" vertical="center"/>
    </xf>
    <xf numFmtId="0" fontId="54" fillId="0" borderId="13" xfId="2" applyFont="1" applyFill="1" applyBorder="1" applyAlignment="1">
      <alignment horizontal="center" vertical="center"/>
    </xf>
    <xf numFmtId="0" fontId="54" fillId="0" borderId="11" xfId="2" applyFont="1" applyFill="1" applyBorder="1" applyAlignment="1">
      <alignment horizontal="center" vertical="center"/>
    </xf>
    <xf numFmtId="0" fontId="55" fillId="0" borderId="11" xfId="2" applyFont="1" applyFill="1" applyBorder="1" applyAlignment="1">
      <alignment horizontal="center" vertical="top" wrapText="1"/>
    </xf>
    <xf numFmtId="0" fontId="55" fillId="0" borderId="12" xfId="2" applyFont="1" applyFill="1" applyBorder="1" applyAlignment="1">
      <alignment horizontal="center" vertical="top"/>
    </xf>
    <xf numFmtId="0" fontId="55" fillId="0" borderId="13" xfId="2" applyFont="1" applyFill="1" applyBorder="1" applyAlignment="1">
      <alignment horizontal="center" vertical="top"/>
    </xf>
    <xf numFmtId="0" fontId="15" fillId="0" borderId="0" xfId="2" applyFont="1" applyAlignment="1">
      <alignment horizontal="center"/>
    </xf>
    <xf numFmtId="0" fontId="18" fillId="0" borderId="4" xfId="2" applyFont="1" applyBorder="1" applyAlignment="1">
      <alignment horizontal="right"/>
    </xf>
    <xf numFmtId="0" fontId="35" fillId="0" borderId="7" xfId="2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/>
    </xf>
    <xf numFmtId="0" fontId="35" fillId="0" borderId="12" xfId="2" applyFont="1" applyBorder="1" applyAlignment="1">
      <alignment horizontal="center" vertical="center"/>
    </xf>
    <xf numFmtId="0" fontId="35" fillId="0" borderId="13" xfId="2" applyFont="1" applyBorder="1" applyAlignment="1">
      <alignment horizontal="center" vertical="center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center" vertical="center"/>
    </xf>
    <xf numFmtId="4" fontId="48" fillId="0" borderId="8" xfId="11" applyNumberFormat="1" applyFont="1" applyFill="1" applyBorder="1" applyAlignment="1">
      <alignment horizontal="center" vertical="center"/>
    </xf>
    <xf numFmtId="4" fontId="48" fillId="0" borderId="10" xfId="11" applyNumberFormat="1" applyFont="1" applyFill="1" applyBorder="1" applyAlignment="1">
      <alignment horizontal="center" vertical="center"/>
    </xf>
    <xf numFmtId="4" fontId="48" fillId="0" borderId="9" xfId="11" applyNumberFormat="1" applyFont="1" applyFill="1" applyBorder="1" applyAlignment="1">
      <alignment horizontal="center" vertical="center"/>
    </xf>
    <xf numFmtId="4" fontId="48" fillId="0" borderId="11" xfId="11" applyNumberFormat="1" applyFont="1" applyFill="1" applyBorder="1" applyAlignment="1">
      <alignment horizontal="center"/>
    </xf>
    <xf numFmtId="4" fontId="48" fillId="0" borderId="12" xfId="11" applyNumberFormat="1" applyFont="1" applyFill="1" applyBorder="1" applyAlignment="1">
      <alignment horizontal="center"/>
    </xf>
    <xf numFmtId="4" fontId="48" fillId="0" borderId="13" xfId="11" applyNumberFormat="1" applyFont="1" applyFill="1" applyBorder="1" applyAlignment="1">
      <alignment horizontal="center"/>
    </xf>
    <xf numFmtId="187" fontId="48" fillId="0" borderId="8" xfId="6" applyFont="1" applyFill="1" applyBorder="1" applyAlignment="1">
      <alignment horizontal="center" vertical="center" wrapText="1"/>
    </xf>
    <xf numFmtId="187" fontId="48" fillId="0" borderId="10" xfId="6" applyFont="1" applyFill="1" applyBorder="1" applyAlignment="1">
      <alignment horizontal="center" vertical="center" wrapText="1"/>
    </xf>
    <xf numFmtId="187" fontId="48" fillId="0" borderId="9" xfId="6" applyFont="1" applyFill="1" applyBorder="1" applyAlignment="1">
      <alignment horizontal="center" vertical="center" wrapText="1"/>
    </xf>
    <xf numFmtId="187" fontId="48" fillId="0" borderId="8" xfId="6" applyFont="1" applyFill="1" applyBorder="1" applyAlignment="1">
      <alignment horizontal="center" vertical="center"/>
    </xf>
    <xf numFmtId="187" fontId="48" fillId="0" borderId="9" xfId="6" applyFont="1" applyFill="1" applyBorder="1" applyAlignment="1">
      <alignment horizontal="center" vertical="center"/>
    </xf>
    <xf numFmtId="0" fontId="18" fillId="0" borderId="4" xfId="2" applyFont="1" applyFill="1" applyBorder="1" applyAlignment="1">
      <alignment horizontal="right"/>
    </xf>
    <xf numFmtId="0" fontId="48" fillId="0" borderId="7" xfId="11" applyFont="1" applyFill="1" applyBorder="1" applyAlignment="1">
      <alignment horizontal="center" vertical="center" wrapText="1"/>
    </xf>
    <xf numFmtId="0" fontId="15" fillId="0" borderId="17" xfId="2" applyFont="1" applyFill="1" applyBorder="1" applyAlignment="1">
      <alignment vertical="center" wrapText="1"/>
    </xf>
    <xf numFmtId="0" fontId="15" fillId="0" borderId="17" xfId="2" applyFont="1" applyFill="1" applyBorder="1" applyAlignment="1">
      <alignment vertical="center"/>
    </xf>
    <xf numFmtId="0" fontId="15" fillId="0" borderId="31" xfId="2" applyFont="1" applyFill="1" applyBorder="1" applyAlignment="1">
      <alignment vertical="center" wrapText="1"/>
    </xf>
    <xf numFmtId="0" fontId="15" fillId="0" borderId="11" xfId="2" applyFont="1" applyFill="1" applyBorder="1" applyAlignment="1">
      <alignment horizontal="right"/>
    </xf>
    <xf numFmtId="0" fontId="15" fillId="0" borderId="13" xfId="2" applyFont="1" applyFill="1" applyBorder="1" applyAlignment="1">
      <alignment horizontal="right"/>
    </xf>
    <xf numFmtId="0" fontId="15" fillId="0" borderId="7" xfId="2" applyFont="1" applyBorder="1" applyAlignment="1">
      <alignment horizontal="center" vertical="center"/>
    </xf>
    <xf numFmtId="0" fontId="45" fillId="0" borderId="11" xfId="2" applyFont="1" applyFill="1" applyBorder="1" applyAlignment="1">
      <alignment horizontal="center" vertical="center" wrapText="1"/>
    </xf>
    <xf numFmtId="0" fontId="45" fillId="0" borderId="12" xfId="2" applyFont="1" applyFill="1" applyBorder="1" applyAlignment="1">
      <alignment horizontal="center" vertical="center" wrapText="1"/>
    </xf>
    <xf numFmtId="0" fontId="45" fillId="0" borderId="13" xfId="2" applyFont="1" applyFill="1" applyBorder="1" applyAlignment="1">
      <alignment horizontal="center" vertical="center" wrapText="1"/>
    </xf>
    <xf numFmtId="187" fontId="15" fillId="0" borderId="4" xfId="6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9" fillId="0" borderId="26" xfId="2" applyFont="1" applyFill="1" applyBorder="1" applyAlignment="1">
      <alignment horizontal="left" vertical="center" wrapText="1"/>
    </xf>
    <xf numFmtId="187" fontId="29" fillId="0" borderId="19" xfId="6" applyFont="1" applyFill="1" applyBorder="1" applyAlignment="1">
      <alignment horizontal="right" vertical="center" shrinkToFit="1"/>
    </xf>
    <xf numFmtId="187" fontId="29" fillId="0" borderId="19" xfId="6" applyFont="1" applyFill="1" applyBorder="1" applyAlignment="1">
      <alignment horizontal="left" vertical="center" shrinkToFit="1"/>
    </xf>
    <xf numFmtId="49" fontId="29" fillId="0" borderId="19" xfId="1" applyNumberFormat="1" applyFont="1" applyFill="1" applyBorder="1" applyAlignment="1">
      <alignment horizontal="center" vertical="center"/>
    </xf>
    <xf numFmtId="49" fontId="29" fillId="0" borderId="19" xfId="6" applyNumberFormat="1" applyFont="1" applyFill="1" applyBorder="1" applyAlignment="1">
      <alignment horizontal="center" vertical="center" shrinkToFit="1"/>
    </xf>
    <xf numFmtId="0" fontId="29" fillId="0" borderId="39" xfId="2" applyFont="1" applyFill="1" applyBorder="1" applyAlignment="1">
      <alignment vertical="center" wrapText="1"/>
    </xf>
    <xf numFmtId="0" fontId="29" fillId="0" borderId="34" xfId="2" applyFont="1" applyFill="1" applyBorder="1" applyAlignment="1">
      <alignment vertical="center" wrapText="1"/>
    </xf>
    <xf numFmtId="43" fontId="29" fillId="0" borderId="34" xfId="1" applyFont="1" applyFill="1" applyBorder="1" applyAlignment="1">
      <alignment vertical="center" shrinkToFit="1"/>
    </xf>
    <xf numFmtId="49" fontId="29" fillId="0" borderId="34" xfId="1" applyNumberFormat="1" applyFont="1" applyFill="1" applyBorder="1" applyAlignment="1">
      <alignment horizontal="center" vertical="center" wrapText="1" shrinkToFit="1"/>
    </xf>
    <xf numFmtId="0" fontId="29" fillId="0" borderId="34" xfId="0" applyFont="1" applyFill="1" applyBorder="1" applyAlignment="1">
      <alignment horizontal="center" vertical="center" wrapText="1"/>
    </xf>
    <xf numFmtId="187" fontId="29" fillId="0" borderId="36" xfId="6" applyNumberFormat="1" applyFont="1" applyFill="1" applyBorder="1" applyAlignment="1">
      <alignment vertical="center" shrinkToFit="1"/>
    </xf>
    <xf numFmtId="187" fontId="29" fillId="0" borderId="37" xfId="6" applyFont="1" applyFill="1" applyBorder="1" applyAlignment="1">
      <alignment vertical="center" shrinkToFit="1"/>
    </xf>
    <xf numFmtId="0" fontId="29" fillId="0" borderId="25" xfId="2" applyFont="1" applyFill="1" applyBorder="1" applyAlignment="1">
      <alignment vertical="center" wrapText="1"/>
    </xf>
    <xf numFmtId="0" fontId="29" fillId="0" borderId="19" xfId="2" applyFont="1" applyFill="1" applyBorder="1" applyAlignment="1">
      <alignment vertical="center" wrapText="1"/>
    </xf>
    <xf numFmtId="49" fontId="29" fillId="0" borderId="19" xfId="1" applyNumberFormat="1" applyFont="1" applyFill="1" applyBorder="1" applyAlignment="1">
      <alignment horizontal="center" vertical="center" wrapText="1" shrinkToFit="1"/>
    </xf>
    <xf numFmtId="0" fontId="29" fillId="0" borderId="19" xfId="0" applyFont="1" applyFill="1" applyBorder="1" applyAlignment="1">
      <alignment horizontal="center" vertical="center" wrapText="1"/>
    </xf>
    <xf numFmtId="187" fontId="50" fillId="0" borderId="18" xfId="6" applyNumberFormat="1" applyFont="1" applyFill="1" applyBorder="1" applyAlignment="1">
      <alignment horizontal="center" vertical="center" shrinkToFit="1"/>
    </xf>
    <xf numFmtId="187" fontId="50" fillId="0" borderId="18" xfId="0" applyNumberFormat="1" applyFont="1" applyFill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/>
    </xf>
  </cellXfs>
  <cellStyles count="12">
    <cellStyle name="Comma 12" xfId="6"/>
    <cellStyle name="Comma 13" xfId="7"/>
    <cellStyle name="Comma 14" xfId="8"/>
    <cellStyle name="Comma 15" xfId="9"/>
    <cellStyle name="Comma 16" xfId="10"/>
    <cellStyle name="Comma 3" xfId="5"/>
    <cellStyle name="Normal 2" xfId="2"/>
    <cellStyle name="Normal 3" xfId="3"/>
    <cellStyle name="Normal 4" xfId="4"/>
    <cellStyle name="Normal 5" xfId="11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59"/>
  <sheetViews>
    <sheetView workbookViewId="0">
      <selection activeCell="G38" sqref="G38"/>
    </sheetView>
  </sheetViews>
  <sheetFormatPr defaultRowHeight="21.75"/>
  <cols>
    <col min="1" max="1" width="3" style="105" customWidth="1"/>
    <col min="2" max="2" width="31.5" style="105" customWidth="1"/>
    <col min="3" max="5" width="12" style="105" customWidth="1"/>
    <col min="6" max="6" width="0.625" style="105" customWidth="1"/>
    <col min="7" max="7" width="14.625" style="105" customWidth="1"/>
    <col min="8" max="8" width="9" style="105"/>
    <col min="9" max="9" width="12.625" style="105" bestFit="1" customWidth="1"/>
    <col min="10" max="10" width="11.75" style="105" bestFit="1" customWidth="1"/>
    <col min="11" max="11" width="14.125" style="105" bestFit="1" customWidth="1"/>
    <col min="12" max="12" width="15.125" style="105" bestFit="1" customWidth="1"/>
    <col min="13" max="13" width="12.75" style="105" bestFit="1" customWidth="1"/>
    <col min="14" max="14" width="13.875" style="105" bestFit="1" customWidth="1"/>
    <col min="15" max="16384" width="9" style="105"/>
  </cols>
  <sheetData>
    <row r="1" spans="1:14">
      <c r="A1" s="774" t="s">
        <v>211</v>
      </c>
      <c r="B1" s="774"/>
      <c r="C1" s="774"/>
      <c r="D1" s="774"/>
      <c r="E1" s="774"/>
      <c r="F1" s="774"/>
      <c r="G1" s="774"/>
    </row>
    <row r="2" spans="1:14">
      <c r="A2" s="774" t="s">
        <v>9</v>
      </c>
      <c r="B2" s="774"/>
      <c r="C2" s="774"/>
      <c r="D2" s="774"/>
      <c r="E2" s="774"/>
      <c r="F2" s="774"/>
      <c r="G2" s="774"/>
    </row>
    <row r="3" spans="1:14" ht="13.5" customHeight="1">
      <c r="A3" s="127"/>
      <c r="B3" s="127"/>
      <c r="C3" s="127"/>
      <c r="D3" s="127"/>
      <c r="E3" s="127"/>
      <c r="F3" s="127"/>
      <c r="G3" s="127"/>
    </row>
    <row r="4" spans="1:14">
      <c r="A4" s="105" t="s">
        <v>189</v>
      </c>
      <c r="G4" s="120" t="s">
        <v>10</v>
      </c>
    </row>
    <row r="5" spans="1:14" s="122" customFormat="1" ht="43.5">
      <c r="A5" s="775" t="s">
        <v>18</v>
      </c>
      <c r="B5" s="776"/>
      <c r="C5" s="465" t="s">
        <v>113</v>
      </c>
      <c r="D5" s="465" t="s">
        <v>194</v>
      </c>
      <c r="E5" s="121" t="s">
        <v>1</v>
      </c>
      <c r="F5" s="775" t="s">
        <v>2</v>
      </c>
      <c r="G5" s="776"/>
    </row>
    <row r="6" spans="1:14">
      <c r="A6" s="123" t="s">
        <v>11</v>
      </c>
      <c r="B6" s="123"/>
      <c r="C6" s="429">
        <v>122056355.65000001</v>
      </c>
      <c r="D6" s="508">
        <v>1778645</v>
      </c>
      <c r="E6" s="429">
        <v>72784591.299999997</v>
      </c>
      <c r="F6" s="779">
        <f t="shared" ref="F6:F13" si="0">SUM(C6:E6)</f>
        <v>196619591.94999999</v>
      </c>
      <c r="G6" s="779"/>
      <c r="H6" s="124"/>
      <c r="I6" s="639"/>
    </row>
    <row r="7" spans="1:14">
      <c r="A7" s="125" t="s">
        <v>12</v>
      </c>
      <c r="B7" s="125"/>
      <c r="C7" s="509">
        <v>7522753.5499999998</v>
      </c>
      <c r="D7" s="510">
        <v>2307288.66</v>
      </c>
      <c r="E7" s="509">
        <v>291777.36</v>
      </c>
      <c r="F7" s="780">
        <f t="shared" si="0"/>
        <v>10121819.57</v>
      </c>
      <c r="G7" s="780"/>
      <c r="H7" s="124"/>
      <c r="I7" s="639"/>
    </row>
    <row r="8" spans="1:14">
      <c r="A8" s="125" t="s">
        <v>13</v>
      </c>
      <c r="B8" s="125"/>
      <c r="C8" s="509">
        <v>18117133.100000001</v>
      </c>
      <c r="D8" s="509">
        <v>7480</v>
      </c>
      <c r="E8" s="509">
        <v>9300</v>
      </c>
      <c r="F8" s="780">
        <f t="shared" si="0"/>
        <v>18133913.100000001</v>
      </c>
      <c r="G8" s="780"/>
      <c r="H8" s="124"/>
      <c r="I8" s="639"/>
    </row>
    <row r="9" spans="1:14">
      <c r="A9" s="125" t="s">
        <v>14</v>
      </c>
      <c r="B9" s="125"/>
      <c r="C9" s="430">
        <v>117227443.94999999</v>
      </c>
      <c r="D9" s="430">
        <v>5212507.62</v>
      </c>
      <c r="E9" s="430">
        <v>861456.29</v>
      </c>
      <c r="F9" s="780">
        <f t="shared" si="0"/>
        <v>123301407.86</v>
      </c>
      <c r="G9" s="780"/>
      <c r="H9" s="124"/>
      <c r="I9" s="639"/>
    </row>
    <row r="10" spans="1:14">
      <c r="A10" s="125" t="s">
        <v>195</v>
      </c>
      <c r="B10" s="125"/>
      <c r="C10" s="430">
        <v>31360619.68</v>
      </c>
      <c r="D10" s="430">
        <v>3042222.79</v>
      </c>
      <c r="E10" s="430">
        <v>2607469.2000000002</v>
      </c>
      <c r="F10" s="780">
        <f t="shared" si="0"/>
        <v>37010311.670000002</v>
      </c>
      <c r="G10" s="780"/>
      <c r="H10" s="124"/>
      <c r="I10" s="639"/>
    </row>
    <row r="11" spans="1:14" ht="46.5" customHeight="1">
      <c r="A11" s="783" t="s">
        <v>16</v>
      </c>
      <c r="B11" s="784"/>
      <c r="C11" s="430">
        <v>20000000</v>
      </c>
      <c r="D11" s="431"/>
      <c r="E11" s="431"/>
      <c r="F11" s="780">
        <f t="shared" si="0"/>
        <v>20000000</v>
      </c>
      <c r="G11" s="780"/>
      <c r="H11" s="124"/>
      <c r="I11" s="639"/>
    </row>
    <row r="12" spans="1:14">
      <c r="A12" s="125" t="s">
        <v>17</v>
      </c>
      <c r="B12" s="125"/>
      <c r="C12" s="502">
        <v>1293242.96</v>
      </c>
      <c r="D12" s="431"/>
      <c r="E12" s="431"/>
      <c r="F12" s="780">
        <f t="shared" si="0"/>
        <v>1293242.96</v>
      </c>
      <c r="G12" s="780"/>
      <c r="H12" s="124"/>
      <c r="I12" s="639"/>
    </row>
    <row r="13" spans="1:14">
      <c r="A13" s="786" t="s">
        <v>212</v>
      </c>
      <c r="B13" s="787"/>
      <c r="C13" s="512">
        <v>200000</v>
      </c>
      <c r="D13" s="512"/>
      <c r="E13" s="512"/>
      <c r="F13" s="785">
        <f t="shared" si="0"/>
        <v>200000</v>
      </c>
      <c r="G13" s="785"/>
      <c r="H13" s="511"/>
      <c r="I13" s="639"/>
    </row>
    <row r="14" spans="1:14">
      <c r="A14" s="777" t="s">
        <v>19</v>
      </c>
      <c r="B14" s="778"/>
      <c r="C14" s="432">
        <f>SUM(C6:C13)</f>
        <v>317777548.88999999</v>
      </c>
      <c r="D14" s="432">
        <f>SUM(D6:D13)</f>
        <v>12348144.07</v>
      </c>
      <c r="E14" s="432">
        <f>SUM(E6:E13)</f>
        <v>76554594.150000006</v>
      </c>
      <c r="F14" s="781">
        <f>SUM(F6:G13)</f>
        <v>406680287.10999995</v>
      </c>
      <c r="G14" s="782"/>
      <c r="J14" s="639"/>
      <c r="K14" s="640"/>
      <c r="L14" s="640"/>
      <c r="M14" s="638"/>
      <c r="N14" s="638"/>
    </row>
    <row r="15" spans="1:14" ht="10.5" customHeight="1">
      <c r="C15" s="433"/>
      <c r="D15" s="433"/>
      <c r="E15" s="433"/>
      <c r="F15" s="433"/>
      <c r="G15" s="433"/>
      <c r="J15" s="639"/>
      <c r="K15" s="639"/>
      <c r="L15" s="639"/>
    </row>
    <row r="16" spans="1:14">
      <c r="A16" s="105" t="s">
        <v>20</v>
      </c>
      <c r="C16" s="433"/>
      <c r="D16" s="433"/>
      <c r="E16" s="433"/>
      <c r="F16" s="433"/>
      <c r="G16" s="433"/>
    </row>
    <row r="17" spans="1:7" ht="10.5" customHeight="1">
      <c r="C17" s="433"/>
      <c r="D17" s="433"/>
      <c r="E17" s="433"/>
      <c r="F17" s="433"/>
      <c r="G17" s="433"/>
    </row>
    <row r="18" spans="1:7">
      <c r="A18" s="126" t="s">
        <v>21</v>
      </c>
      <c r="B18" s="126"/>
      <c r="C18" s="434"/>
      <c r="D18" s="434"/>
      <c r="E18" s="434"/>
      <c r="F18" s="434"/>
      <c r="G18" s="507">
        <v>591176369.08000004</v>
      </c>
    </row>
    <row r="19" spans="1:7">
      <c r="A19" s="126" t="s">
        <v>22</v>
      </c>
      <c r="B19" s="126" t="s">
        <v>23</v>
      </c>
      <c r="C19" s="434"/>
      <c r="D19" s="434"/>
      <c r="E19" s="434"/>
      <c r="F19" s="434"/>
      <c r="G19" s="434"/>
    </row>
    <row r="20" spans="1:7" ht="19.5" customHeight="1">
      <c r="A20" s="126"/>
      <c r="B20" s="506" t="s">
        <v>24</v>
      </c>
      <c r="C20" s="434"/>
      <c r="D20" s="434"/>
      <c r="E20" s="435">
        <v>11224717.789999999</v>
      </c>
      <c r="F20" s="435"/>
      <c r="G20" s="434"/>
    </row>
    <row r="21" spans="1:7" ht="19.5" customHeight="1">
      <c r="A21" s="126"/>
      <c r="B21" s="506" t="s">
        <v>25</v>
      </c>
      <c r="C21" s="434"/>
      <c r="D21" s="434"/>
      <c r="E21" s="435">
        <v>88152</v>
      </c>
      <c r="F21" s="435"/>
      <c r="G21" s="434"/>
    </row>
    <row r="22" spans="1:7" ht="19.5" customHeight="1">
      <c r="A22" s="126"/>
      <c r="B22" s="506" t="s">
        <v>26</v>
      </c>
      <c r="C22" s="434"/>
      <c r="D22" s="434"/>
      <c r="E22" s="435">
        <v>859039.92</v>
      </c>
      <c r="F22" s="435"/>
      <c r="G22" s="434"/>
    </row>
    <row r="23" spans="1:7" ht="19.5" customHeight="1">
      <c r="A23" s="126"/>
      <c r="B23" s="506" t="s">
        <v>27</v>
      </c>
      <c r="C23" s="434"/>
      <c r="D23" s="434"/>
      <c r="E23" s="435">
        <v>295372.90000000002</v>
      </c>
      <c r="F23" s="435"/>
      <c r="G23" s="434"/>
    </row>
    <row r="24" spans="1:7" ht="19.5" customHeight="1">
      <c r="A24" s="126"/>
      <c r="B24" s="506" t="s">
        <v>28</v>
      </c>
      <c r="C24" s="434"/>
      <c r="D24" s="434"/>
      <c r="E24" s="435">
        <v>111081</v>
      </c>
      <c r="F24" s="435"/>
      <c r="G24" s="434"/>
    </row>
    <row r="25" spans="1:7" ht="19.5" customHeight="1">
      <c r="A25" s="126"/>
      <c r="B25" s="506" t="s">
        <v>29</v>
      </c>
      <c r="C25" s="434"/>
      <c r="D25" s="434"/>
      <c r="E25" s="435">
        <v>1008158.45</v>
      </c>
      <c r="F25" s="435"/>
      <c r="G25" s="434"/>
    </row>
    <row r="26" spans="1:7" ht="19.5" customHeight="1">
      <c r="A26" s="126"/>
      <c r="B26" s="506" t="s">
        <v>30</v>
      </c>
      <c r="C26" s="434"/>
      <c r="D26" s="434"/>
      <c r="E26" s="435">
        <v>60290</v>
      </c>
      <c r="F26" s="435"/>
      <c r="G26" s="434"/>
    </row>
    <row r="27" spans="1:7" ht="19.5" customHeight="1">
      <c r="A27" s="126"/>
      <c r="B27" s="506" t="s">
        <v>31</v>
      </c>
      <c r="C27" s="434"/>
      <c r="D27" s="434"/>
      <c r="E27" s="435">
        <v>709662.75</v>
      </c>
      <c r="F27" s="435"/>
      <c r="G27" s="434"/>
    </row>
    <row r="28" spans="1:7" ht="19.5" customHeight="1">
      <c r="A28" s="126"/>
      <c r="B28" s="506" t="s">
        <v>32</v>
      </c>
      <c r="C28" s="434"/>
      <c r="D28" s="434"/>
      <c r="E28" s="435">
        <v>737874.19</v>
      </c>
      <c r="F28" s="435"/>
      <c r="G28" s="434"/>
    </row>
    <row r="29" spans="1:7" ht="19.5" customHeight="1">
      <c r="A29" s="126"/>
      <c r="B29" s="506" t="s">
        <v>33</v>
      </c>
      <c r="C29" s="434"/>
      <c r="D29" s="434"/>
      <c r="E29" s="435">
        <v>2327774.94</v>
      </c>
      <c r="F29" s="435"/>
      <c r="G29" s="434"/>
    </row>
    <row r="30" spans="1:7" ht="19.5" customHeight="1">
      <c r="A30" s="126"/>
      <c r="B30" s="506" t="s">
        <v>34</v>
      </c>
      <c r="C30" s="434"/>
      <c r="D30" s="434"/>
      <c r="E30" s="435">
        <v>36192016.350000001</v>
      </c>
      <c r="F30" s="435"/>
      <c r="G30" s="434"/>
    </row>
    <row r="31" spans="1:7" ht="19.5" customHeight="1">
      <c r="A31" s="126"/>
      <c r="B31" s="506" t="s">
        <v>35</v>
      </c>
      <c r="C31" s="434"/>
      <c r="D31" s="434"/>
      <c r="E31" s="435">
        <v>91999498.25</v>
      </c>
      <c r="F31" s="435"/>
      <c r="G31" s="434"/>
    </row>
    <row r="32" spans="1:7" ht="19.5" customHeight="1">
      <c r="A32" s="126"/>
      <c r="B32" s="506" t="s">
        <v>36</v>
      </c>
      <c r="C32" s="434"/>
      <c r="D32" s="434"/>
      <c r="E32" s="436">
        <v>38882443.43</v>
      </c>
      <c r="F32" s="435"/>
      <c r="G32" s="437">
        <f>SUM(E20:E32)</f>
        <v>184496081.97</v>
      </c>
    </row>
    <row r="33" spans="1:7" ht="22.5" thickBot="1">
      <c r="A33" s="126" t="s">
        <v>19</v>
      </c>
      <c r="B33" s="126"/>
      <c r="C33" s="434"/>
      <c r="D33" s="434"/>
      <c r="E33" s="434"/>
      <c r="F33" s="434"/>
      <c r="G33" s="438">
        <f>G18-G32</f>
        <v>406680287.11000001</v>
      </c>
    </row>
    <row r="34" spans="1:7" ht="22.5" thickTop="1">
      <c r="A34" s="126"/>
      <c r="B34" s="126"/>
      <c r="C34" s="126"/>
      <c r="D34" s="126"/>
      <c r="E34" s="126"/>
      <c r="F34" s="126"/>
      <c r="G34" s="126"/>
    </row>
    <row r="35" spans="1:7">
      <c r="A35" s="126"/>
      <c r="B35" s="126"/>
      <c r="C35" s="126"/>
      <c r="D35" s="126"/>
      <c r="E35" s="126"/>
      <c r="F35" s="126"/>
      <c r="G35" s="126"/>
    </row>
    <row r="36" spans="1:7">
      <c r="A36" s="126"/>
      <c r="B36" s="126"/>
      <c r="C36" s="126"/>
      <c r="D36" s="126"/>
      <c r="E36" s="126"/>
      <c r="F36" s="126"/>
      <c r="G36" s="126"/>
    </row>
    <row r="37" spans="1:7">
      <c r="A37" s="126"/>
      <c r="B37" s="126"/>
      <c r="C37" s="126"/>
      <c r="D37" s="126"/>
      <c r="E37" s="126"/>
      <c r="F37" s="126"/>
      <c r="G37" s="126"/>
    </row>
    <row r="38" spans="1:7">
      <c r="A38" s="126"/>
      <c r="B38" s="126"/>
      <c r="C38" s="126"/>
      <c r="D38" s="126"/>
      <c r="E38" s="126"/>
      <c r="F38" s="126"/>
      <c r="G38" s="126"/>
    </row>
    <row r="39" spans="1:7">
      <c r="A39" s="126"/>
      <c r="B39" s="126"/>
      <c r="C39" s="126"/>
      <c r="D39" s="126"/>
      <c r="E39" s="126"/>
      <c r="F39" s="126"/>
      <c r="G39" s="126"/>
    </row>
    <row r="40" spans="1:7">
      <c r="A40" s="126"/>
      <c r="B40" s="126"/>
      <c r="C40" s="126"/>
      <c r="D40" s="126"/>
      <c r="E40" s="126"/>
      <c r="F40" s="126"/>
      <c r="G40" s="126"/>
    </row>
    <row r="41" spans="1:7">
      <c r="A41" s="126"/>
      <c r="B41" s="126"/>
      <c r="C41" s="126"/>
      <c r="D41" s="126"/>
      <c r="E41" s="126"/>
      <c r="F41" s="126"/>
      <c r="G41" s="126"/>
    </row>
    <row r="42" spans="1:7">
      <c r="A42" s="126"/>
      <c r="B42" s="126"/>
      <c r="C42" s="126"/>
      <c r="D42" s="126"/>
      <c r="E42" s="126"/>
      <c r="F42" s="126"/>
      <c r="G42" s="126"/>
    </row>
    <row r="43" spans="1:7">
      <c r="A43" s="126"/>
      <c r="B43" s="126"/>
      <c r="C43" s="126"/>
      <c r="D43" s="126"/>
      <c r="E43" s="126"/>
      <c r="F43" s="126"/>
      <c r="G43" s="126"/>
    </row>
    <row r="44" spans="1:7">
      <c r="A44" s="126"/>
      <c r="B44" s="126"/>
      <c r="C44" s="126"/>
      <c r="D44" s="126"/>
      <c r="E44" s="126"/>
      <c r="F44" s="126"/>
      <c r="G44" s="126"/>
    </row>
    <row r="45" spans="1:7">
      <c r="A45" s="126"/>
      <c r="B45" s="126"/>
      <c r="C45" s="126"/>
      <c r="D45" s="126"/>
      <c r="E45" s="126"/>
      <c r="F45" s="126"/>
      <c r="G45" s="126"/>
    </row>
    <row r="46" spans="1:7">
      <c r="A46" s="126"/>
      <c r="B46" s="126"/>
      <c r="C46" s="126"/>
      <c r="D46" s="126"/>
      <c r="E46" s="126"/>
      <c r="F46" s="126"/>
      <c r="G46" s="126"/>
    </row>
    <row r="47" spans="1:7">
      <c r="A47" s="126"/>
      <c r="B47" s="126"/>
      <c r="C47" s="126"/>
      <c r="D47" s="126"/>
      <c r="E47" s="126"/>
      <c r="F47" s="126"/>
      <c r="G47" s="126"/>
    </row>
    <row r="48" spans="1:7">
      <c r="A48" s="126"/>
      <c r="B48" s="126"/>
      <c r="C48" s="126"/>
      <c r="D48" s="126"/>
      <c r="E48" s="126"/>
      <c r="F48" s="126"/>
      <c r="G48" s="126"/>
    </row>
    <row r="49" spans="1:7">
      <c r="A49" s="126"/>
      <c r="B49" s="126"/>
      <c r="C49" s="126"/>
      <c r="D49" s="126"/>
      <c r="E49" s="126"/>
      <c r="F49" s="126"/>
      <c r="G49" s="126"/>
    </row>
    <row r="50" spans="1:7">
      <c r="A50" s="126"/>
      <c r="B50" s="126"/>
      <c r="C50" s="126"/>
      <c r="D50" s="126"/>
      <c r="E50" s="126"/>
      <c r="F50" s="126"/>
      <c r="G50" s="126"/>
    </row>
    <row r="51" spans="1:7">
      <c r="A51" s="126"/>
      <c r="B51" s="126"/>
      <c r="C51" s="126"/>
      <c r="D51" s="126"/>
      <c r="E51" s="126"/>
      <c r="F51" s="126"/>
      <c r="G51" s="126"/>
    </row>
    <row r="52" spans="1:7">
      <c r="A52" s="126"/>
      <c r="B52" s="126"/>
      <c r="C52" s="126"/>
      <c r="D52" s="126"/>
      <c r="E52" s="126"/>
      <c r="F52" s="126"/>
      <c r="G52" s="126"/>
    </row>
    <row r="53" spans="1:7">
      <c r="A53" s="126"/>
      <c r="B53" s="126"/>
      <c r="C53" s="126"/>
      <c r="D53" s="126"/>
      <c r="E53" s="126"/>
      <c r="F53" s="126"/>
      <c r="G53" s="126"/>
    </row>
    <row r="54" spans="1:7">
      <c r="A54" s="126"/>
      <c r="B54" s="126"/>
      <c r="C54" s="126"/>
      <c r="D54" s="126"/>
      <c r="E54" s="126"/>
      <c r="F54" s="126"/>
      <c r="G54" s="126"/>
    </row>
    <row r="55" spans="1:7">
      <c r="A55" s="126"/>
      <c r="B55" s="126"/>
      <c r="C55" s="126"/>
      <c r="D55" s="126"/>
      <c r="E55" s="126"/>
      <c r="F55" s="126"/>
      <c r="G55" s="126"/>
    </row>
    <row r="56" spans="1:7">
      <c r="A56" s="126"/>
      <c r="B56" s="126"/>
      <c r="C56" s="126"/>
      <c r="D56" s="126"/>
      <c r="E56" s="126"/>
      <c r="F56" s="126"/>
      <c r="G56" s="126"/>
    </row>
    <row r="57" spans="1:7">
      <c r="A57" s="126"/>
      <c r="B57" s="126"/>
      <c r="C57" s="126"/>
      <c r="D57" s="126"/>
      <c r="E57" s="126"/>
      <c r="F57" s="126"/>
      <c r="G57" s="126"/>
    </row>
    <row r="58" spans="1:7">
      <c r="A58" s="126"/>
      <c r="B58" s="126"/>
      <c r="C58" s="126"/>
      <c r="D58" s="126"/>
      <c r="E58" s="126"/>
      <c r="F58" s="126"/>
      <c r="G58" s="126"/>
    </row>
    <row r="59" spans="1:7">
      <c r="A59" s="126"/>
      <c r="B59" s="126"/>
      <c r="C59" s="126"/>
      <c r="D59" s="126"/>
      <c r="E59" s="126"/>
      <c r="F59" s="126"/>
      <c r="G59" s="126"/>
    </row>
  </sheetData>
  <mergeCells count="16">
    <mergeCell ref="A1:G1"/>
    <mergeCell ref="A2:G2"/>
    <mergeCell ref="A5:B5"/>
    <mergeCell ref="A14:B14"/>
    <mergeCell ref="F5:G5"/>
    <mergeCell ref="F6:G6"/>
    <mergeCell ref="F7:G7"/>
    <mergeCell ref="F8:G8"/>
    <mergeCell ref="F9:G9"/>
    <mergeCell ref="F10:G10"/>
    <mergeCell ref="F11:G11"/>
    <mergeCell ref="F12:G12"/>
    <mergeCell ref="F14:G14"/>
    <mergeCell ref="A11:B11"/>
    <mergeCell ref="F13:G13"/>
    <mergeCell ref="A13:B13"/>
  </mergeCells>
  <printOptions horizontalCentered="1"/>
  <pageMargins left="0.70866141732283472" right="0.39370078740157483" top="0.55118110236220474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28"/>
  <sheetViews>
    <sheetView zoomScaleNormal="100" workbookViewId="0">
      <selection activeCell="I7" sqref="I7"/>
    </sheetView>
  </sheetViews>
  <sheetFormatPr defaultRowHeight="21.75"/>
  <cols>
    <col min="1" max="1" width="16.75" style="81" customWidth="1"/>
    <col min="2" max="2" width="12.625" style="69" bestFit="1" customWidth="1"/>
    <col min="3" max="5" width="11.75" style="69" bestFit="1" customWidth="1"/>
    <col min="6" max="6" width="12.625" style="69" bestFit="1" customWidth="1"/>
    <col min="7" max="8" width="5" style="81" customWidth="1"/>
    <col min="9" max="9" width="8.625" style="81" customWidth="1"/>
    <col min="10" max="10" width="12.625" style="81" bestFit="1" customWidth="1"/>
    <col min="11" max="11" width="10.875" style="81" bestFit="1" customWidth="1"/>
    <col min="12" max="13" width="11.75" style="81" bestFit="1" customWidth="1"/>
    <col min="14" max="14" width="12.625" style="81" bestFit="1" customWidth="1"/>
    <col min="15" max="16" width="5" style="81" customWidth="1"/>
    <col min="17" max="18" width="8.625" style="81" customWidth="1"/>
    <col min="19" max="19" width="7" style="81" customWidth="1"/>
    <col min="20" max="20" width="8" style="81" customWidth="1"/>
    <col min="21" max="21" width="4.375" style="81" customWidth="1"/>
    <col min="22" max="22" width="4.625" style="81" customWidth="1"/>
    <col min="23" max="23" width="4.75" style="81" customWidth="1"/>
    <col min="24" max="16384" width="9" style="81"/>
  </cols>
  <sheetData>
    <row r="1" spans="1:23">
      <c r="A1" s="844" t="s">
        <v>220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</row>
    <row r="2" spans="1:23" s="84" customFormat="1" ht="24.75" customHeight="1">
      <c r="A2" s="82" t="s">
        <v>152</v>
      </c>
      <c r="B2" s="95"/>
      <c r="C2" s="95"/>
      <c r="D2" s="95"/>
      <c r="E2" s="95"/>
      <c r="F2" s="96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S2" s="845"/>
      <c r="T2" s="845"/>
      <c r="V2" s="845" t="s">
        <v>138</v>
      </c>
      <c r="W2" s="845"/>
    </row>
    <row r="3" spans="1:23" s="85" customFormat="1" ht="20.25" customHeight="1">
      <c r="A3" s="846" t="s">
        <v>153</v>
      </c>
      <c r="B3" s="826" t="s">
        <v>221</v>
      </c>
      <c r="C3" s="826"/>
      <c r="D3" s="826"/>
      <c r="E3" s="826"/>
      <c r="F3" s="826"/>
      <c r="G3" s="826"/>
      <c r="H3" s="826"/>
      <c r="I3" s="826"/>
      <c r="J3" s="826" t="s">
        <v>221</v>
      </c>
      <c r="K3" s="826"/>
      <c r="L3" s="826"/>
      <c r="M3" s="826"/>
      <c r="N3" s="826"/>
      <c r="O3" s="826"/>
      <c r="P3" s="826"/>
      <c r="Q3" s="826"/>
      <c r="R3" s="847" t="s">
        <v>112</v>
      </c>
      <c r="S3" s="848"/>
      <c r="T3" s="849"/>
      <c r="U3" s="850" t="s">
        <v>203</v>
      </c>
      <c r="V3" s="851"/>
      <c r="W3" s="852"/>
    </row>
    <row r="4" spans="1:23" s="86" customFormat="1" ht="66.75" customHeight="1">
      <c r="A4" s="846"/>
      <c r="B4" s="381" t="s">
        <v>113</v>
      </c>
      <c r="C4" s="383" t="s">
        <v>146</v>
      </c>
      <c r="D4" s="382" t="s">
        <v>1</v>
      </c>
      <c r="E4" s="381" t="s">
        <v>84</v>
      </c>
      <c r="F4" s="382" t="s">
        <v>87</v>
      </c>
      <c r="G4" s="380" t="s">
        <v>88</v>
      </c>
      <c r="H4" s="380" t="s">
        <v>89</v>
      </c>
      <c r="I4" s="381" t="s">
        <v>90</v>
      </c>
      <c r="J4" s="381" t="s">
        <v>113</v>
      </c>
      <c r="K4" s="383" t="s">
        <v>146</v>
      </c>
      <c r="L4" s="382" t="s">
        <v>1</v>
      </c>
      <c r="M4" s="381" t="s">
        <v>84</v>
      </c>
      <c r="N4" s="382" t="s">
        <v>87</v>
      </c>
      <c r="O4" s="380" t="s">
        <v>88</v>
      </c>
      <c r="P4" s="380" t="s">
        <v>89</v>
      </c>
      <c r="Q4" s="381" t="s">
        <v>90</v>
      </c>
      <c r="R4" s="384" t="s">
        <v>140</v>
      </c>
      <c r="S4" s="384" t="s">
        <v>141</v>
      </c>
      <c r="T4" s="384" t="s">
        <v>142</v>
      </c>
      <c r="U4" s="486" t="s">
        <v>206</v>
      </c>
      <c r="V4" s="486" t="s">
        <v>205</v>
      </c>
      <c r="W4" s="486" t="s">
        <v>204</v>
      </c>
    </row>
    <row r="5" spans="1:23" s="87" customFormat="1" ht="46.5" customHeight="1">
      <c r="A5" s="439" t="s">
        <v>154</v>
      </c>
      <c r="B5" s="440">
        <v>235189514.30000001</v>
      </c>
      <c r="C5" s="440">
        <v>10737067.77</v>
      </c>
      <c r="D5" s="440">
        <v>20631086.73</v>
      </c>
      <c r="E5" s="440">
        <v>24654346.899999999</v>
      </c>
      <c r="F5" s="440">
        <v>291212015.69999999</v>
      </c>
      <c r="G5" s="441">
        <v>262</v>
      </c>
      <c r="H5" s="442" t="s">
        <v>93</v>
      </c>
      <c r="I5" s="443">
        <f>F5/G5</f>
        <v>1111496.243129771</v>
      </c>
      <c r="J5" s="444">
        <v>248972475.789</v>
      </c>
      <c r="K5" s="444">
        <v>8494930.875500001</v>
      </c>
      <c r="L5" s="444">
        <v>62587600.719000019</v>
      </c>
      <c r="M5" s="444">
        <v>36010045.738500021</v>
      </c>
      <c r="N5" s="443">
        <f>SUM(J5:M5)</f>
        <v>356065053.12200004</v>
      </c>
      <c r="O5" s="445">
        <v>309</v>
      </c>
      <c r="P5" s="445" t="s">
        <v>93</v>
      </c>
      <c r="Q5" s="443">
        <f>N5/O5</f>
        <v>1152314.087773463</v>
      </c>
      <c r="R5" s="443">
        <f t="shared" ref="R5:S7" si="0">N5-F5</f>
        <v>64853037.422000051</v>
      </c>
      <c r="S5" s="443">
        <f t="shared" si="0"/>
        <v>47</v>
      </c>
      <c r="T5" s="443">
        <f>Q5-I5</f>
        <v>40817.84464369202</v>
      </c>
      <c r="U5" s="443">
        <f t="shared" ref="U5:V7" si="1">R5*100/F5</f>
        <v>22.270041730973826</v>
      </c>
      <c r="V5" s="443">
        <f t="shared" si="1"/>
        <v>17.938931297709924</v>
      </c>
      <c r="W5" s="443">
        <f>T5*100/I5</f>
        <v>3.6723331181719883</v>
      </c>
    </row>
    <row r="6" spans="1:23" s="88" customFormat="1" ht="130.5">
      <c r="A6" s="446" t="s">
        <v>155</v>
      </c>
      <c r="B6" s="447">
        <v>34309255.509999998</v>
      </c>
      <c r="C6" s="447">
        <v>615898.35</v>
      </c>
      <c r="D6" s="447">
        <v>2416735.77</v>
      </c>
      <c r="E6" s="447">
        <v>2862502.1</v>
      </c>
      <c r="F6" s="447">
        <v>40204391.729999997</v>
      </c>
      <c r="G6" s="448">
        <v>646</v>
      </c>
      <c r="H6" s="449" t="s">
        <v>93</v>
      </c>
      <c r="I6" s="450">
        <f>F6/G6</f>
        <v>62235.900510835905</v>
      </c>
      <c r="J6" s="451">
        <v>23175635.578999996</v>
      </c>
      <c r="K6" s="451">
        <v>496977.84010000003</v>
      </c>
      <c r="L6" s="451">
        <v>6214847.7485999996</v>
      </c>
      <c r="M6" s="451">
        <v>582164.70589999994</v>
      </c>
      <c r="N6" s="450">
        <f t="shared" ref="N6:N8" si="2">SUM(J6:M6)</f>
        <v>30469625.873599995</v>
      </c>
      <c r="O6" s="452">
        <v>161</v>
      </c>
      <c r="P6" s="452" t="s">
        <v>93</v>
      </c>
      <c r="Q6" s="450">
        <f>N6/O6</f>
        <v>189252.3346186335</v>
      </c>
      <c r="R6" s="450">
        <f t="shared" si="0"/>
        <v>-9734765.8564000018</v>
      </c>
      <c r="S6" s="450">
        <f t="shared" si="0"/>
        <v>-485</v>
      </c>
      <c r="T6" s="450">
        <f>Q6-I6</f>
        <v>127016.4341077976</v>
      </c>
      <c r="U6" s="450">
        <f t="shared" si="1"/>
        <v>-24.213190244925521</v>
      </c>
      <c r="V6" s="450">
        <f t="shared" si="1"/>
        <v>-75.077399380804948</v>
      </c>
      <c r="W6" s="450">
        <f>T6*100/I6</f>
        <v>204.08869007315599</v>
      </c>
    </row>
    <row r="7" spans="1:23" s="88" customFormat="1" ht="130.5">
      <c r="A7" s="453" t="s">
        <v>110</v>
      </c>
      <c r="B7" s="454">
        <v>14204790.08</v>
      </c>
      <c r="C7" s="454">
        <v>254891.42223558752</v>
      </c>
      <c r="D7" s="454">
        <v>1001357.8313315627</v>
      </c>
      <c r="E7" s="454">
        <v>1189428.7903716499</v>
      </c>
      <c r="F7" s="454">
        <v>16650468.123938799</v>
      </c>
      <c r="G7" s="455">
        <v>30</v>
      </c>
      <c r="H7" s="456" t="s">
        <v>93</v>
      </c>
      <c r="I7" s="457">
        <f>F7/G7</f>
        <v>555015.60413129325</v>
      </c>
      <c r="J7" s="458">
        <v>7134408.9209999992</v>
      </c>
      <c r="K7" s="458">
        <v>157006.28220000002</v>
      </c>
      <c r="L7" s="458">
        <v>2572338.2412</v>
      </c>
      <c r="M7" s="458">
        <v>209050.6128</v>
      </c>
      <c r="N7" s="457">
        <f t="shared" si="2"/>
        <v>10072804.0572</v>
      </c>
      <c r="O7" s="459">
        <v>50</v>
      </c>
      <c r="P7" s="459" t="s">
        <v>93</v>
      </c>
      <c r="Q7" s="457">
        <f>N7/O7</f>
        <v>201456.081144</v>
      </c>
      <c r="R7" s="457">
        <f t="shared" si="0"/>
        <v>-6577664.0667387992</v>
      </c>
      <c r="S7" s="457">
        <f t="shared" si="0"/>
        <v>20</v>
      </c>
      <c r="T7" s="457">
        <f>Q7-I7</f>
        <v>-353559.52298729325</v>
      </c>
      <c r="U7" s="457">
        <f t="shared" si="1"/>
        <v>-39.504379202900154</v>
      </c>
      <c r="V7" s="457">
        <f t="shared" si="1"/>
        <v>66.666666666666671</v>
      </c>
      <c r="W7" s="457">
        <f>T7*100/I7</f>
        <v>-63.702627521740091</v>
      </c>
    </row>
    <row r="8" spans="1:23" s="88" customFormat="1" ht="130.5">
      <c r="A8" s="572" t="s">
        <v>217</v>
      </c>
      <c r="B8" s="573"/>
      <c r="C8" s="573"/>
      <c r="D8" s="573"/>
      <c r="E8" s="573"/>
      <c r="F8" s="573"/>
      <c r="G8" s="574"/>
      <c r="H8" s="575"/>
      <c r="I8" s="576"/>
      <c r="J8" s="577">
        <v>7134408.9209999992</v>
      </c>
      <c r="K8" s="577">
        <v>157006.28220000002</v>
      </c>
      <c r="L8" s="577">
        <v>2572338.2412</v>
      </c>
      <c r="M8" s="577">
        <v>209050.6128</v>
      </c>
      <c r="N8" s="576">
        <f t="shared" si="2"/>
        <v>10072804.0572</v>
      </c>
      <c r="O8" s="578">
        <v>19</v>
      </c>
      <c r="P8" s="578" t="s">
        <v>93</v>
      </c>
      <c r="Q8" s="576">
        <f>N8/O8</f>
        <v>530147.58195789473</v>
      </c>
      <c r="R8" s="450">
        <f>N8-F8</f>
        <v>10072804.0572</v>
      </c>
      <c r="S8" s="576">
        <v>19</v>
      </c>
      <c r="T8" s="576">
        <f>Q8</f>
        <v>530147.58195789473</v>
      </c>
      <c r="U8" s="576">
        <v>100</v>
      </c>
      <c r="V8" s="576">
        <v>100</v>
      </c>
      <c r="W8" s="576">
        <v>100</v>
      </c>
    </row>
    <row r="9" spans="1:23" s="89" customFormat="1" ht="21" customHeight="1">
      <c r="A9" s="460" t="s">
        <v>19</v>
      </c>
      <c r="B9" s="461">
        <f>SUM(B5:B8)</f>
        <v>283703559.88999999</v>
      </c>
      <c r="C9" s="461">
        <f>SUM(C5:C8)</f>
        <v>11607857.542235587</v>
      </c>
      <c r="D9" s="461">
        <f t="shared" ref="D9:E9" si="3">SUM(D5:D8)</f>
        <v>24049180.331331562</v>
      </c>
      <c r="E9" s="461">
        <f t="shared" si="3"/>
        <v>28706277.790371649</v>
      </c>
      <c r="F9" s="461">
        <f>SUM(F5:F8)</f>
        <v>348066875.55393881</v>
      </c>
      <c r="G9" s="462"/>
      <c r="H9" s="463"/>
      <c r="I9" s="464"/>
      <c r="J9" s="462">
        <f>SUM(J5:J8)</f>
        <v>286416929.21000004</v>
      </c>
      <c r="K9" s="462">
        <f t="shared" ref="K9:L9" si="4">SUM(K5:K8)</f>
        <v>9305921.2799999993</v>
      </c>
      <c r="L9" s="462">
        <f t="shared" si="4"/>
        <v>73947124.950000018</v>
      </c>
      <c r="M9" s="462">
        <f>SUM(M5:M8)</f>
        <v>37010311.670000024</v>
      </c>
      <c r="N9" s="462">
        <f>SUM(N5:N8)</f>
        <v>406680287.11000007</v>
      </c>
      <c r="O9" s="462"/>
      <c r="P9" s="462"/>
      <c r="Q9" s="462"/>
      <c r="R9" s="462"/>
      <c r="S9" s="462"/>
      <c r="T9" s="462"/>
      <c r="U9" s="462"/>
      <c r="V9" s="462"/>
      <c r="W9" s="462"/>
    </row>
    <row r="10" spans="1:23" s="90" customFormat="1" ht="12" customHeight="1">
      <c r="B10" s="97"/>
      <c r="C10" s="97"/>
      <c r="D10" s="97"/>
      <c r="E10" s="97"/>
      <c r="F10" s="97"/>
    </row>
    <row r="11" spans="1:23" s="92" customFormat="1" ht="19.5" customHeight="1">
      <c r="A11" s="91"/>
      <c r="B11" s="98"/>
      <c r="C11" s="98"/>
      <c r="D11" s="98"/>
      <c r="E11" s="98"/>
      <c r="F11" s="98"/>
      <c r="G11" s="91"/>
      <c r="H11" s="91"/>
      <c r="I11" s="91"/>
      <c r="J11" s="91"/>
      <c r="K11" s="91"/>
      <c r="L11" s="91"/>
      <c r="M11" s="91"/>
      <c r="N11" s="579">
        <f>+N9-ตารางที่1!G33</f>
        <v>0</v>
      </c>
      <c r="O11" s="91"/>
      <c r="P11" s="91"/>
      <c r="Q11" s="91"/>
      <c r="R11" s="91"/>
      <c r="S11" s="91"/>
      <c r="T11" s="91"/>
      <c r="U11" s="91"/>
      <c r="V11" s="91"/>
      <c r="W11" s="91"/>
    </row>
    <row r="12" spans="1:23" s="92" customFormat="1" ht="23.25" customHeight="1">
      <c r="B12" s="68"/>
      <c r="C12" s="68"/>
      <c r="D12" s="68"/>
      <c r="E12" s="68"/>
      <c r="F12" s="68"/>
    </row>
    <row r="13" spans="1:23" s="93" customFormat="1" ht="23.25" customHeight="1">
      <c r="A13" s="92"/>
      <c r="B13" s="77"/>
      <c r="C13" s="77"/>
      <c r="D13" s="77"/>
      <c r="E13" s="77"/>
      <c r="F13" s="77"/>
    </row>
    <row r="14" spans="1:23" s="94" customFormat="1" ht="23.25" customHeight="1">
      <c r="B14" s="99"/>
      <c r="C14" s="99"/>
      <c r="D14" s="99"/>
      <c r="E14" s="99"/>
      <c r="F14" s="99"/>
    </row>
    <row r="15" spans="1:23" s="93" customFormat="1" ht="23.25" customHeight="1">
      <c r="B15" s="77"/>
      <c r="C15" s="77"/>
      <c r="D15" s="77"/>
      <c r="E15" s="77"/>
      <c r="F15" s="77"/>
    </row>
    <row r="16" spans="1:23" s="93" customFormat="1" ht="23.25" customHeight="1">
      <c r="B16" s="77"/>
      <c r="C16" s="77"/>
      <c r="D16" s="77"/>
      <c r="E16" s="77"/>
      <c r="F16" s="77"/>
    </row>
    <row r="17" spans="2:10" s="93" customFormat="1" ht="23.25" customHeight="1">
      <c r="B17" s="77"/>
      <c r="C17" s="77"/>
      <c r="D17" s="77"/>
      <c r="E17" s="77"/>
      <c r="F17" s="77"/>
    </row>
    <row r="18" spans="2:10" s="90" customFormat="1" ht="23.25" customHeight="1">
      <c r="B18" s="97"/>
      <c r="C18" s="97"/>
      <c r="D18" s="97"/>
      <c r="E18" s="97"/>
      <c r="F18" s="97"/>
    </row>
    <row r="19" spans="2:10" s="90" customFormat="1" ht="23.25" customHeight="1">
      <c r="B19" s="97"/>
      <c r="C19" s="97"/>
      <c r="D19" s="97"/>
      <c r="E19" s="97"/>
      <c r="F19" s="97"/>
    </row>
    <row r="20" spans="2:10" s="90" customFormat="1" ht="23.25" customHeight="1">
      <c r="B20" s="97"/>
      <c r="C20" s="97"/>
      <c r="D20" s="97"/>
      <c r="E20" s="97"/>
      <c r="F20" s="97"/>
    </row>
    <row r="28" spans="2:10">
      <c r="J28" s="198"/>
    </row>
  </sheetData>
  <mergeCells count="8">
    <mergeCell ref="A1:W1"/>
    <mergeCell ref="S2:T2"/>
    <mergeCell ref="V2:W2"/>
    <mergeCell ref="A3:A4"/>
    <mergeCell ref="B3:I3"/>
    <mergeCell ref="J3:Q3"/>
    <mergeCell ref="R3:T3"/>
    <mergeCell ref="U3:W3"/>
  </mergeCells>
  <printOptions horizontalCentered="1"/>
  <pageMargins left="0.45" right="0.19" top="0.55118110236220474" bottom="0.35433070866141736" header="0.31496062992125984" footer="0.31496062992125984"/>
  <pageSetup paperSize="9" scale="62" fitToHeight="10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31"/>
  <sheetViews>
    <sheetView view="pageBreakPreview" topLeftCell="O1" zoomScale="120" zoomScaleNormal="100" zoomScaleSheetLayoutView="120" workbookViewId="0">
      <pane ySplit="5" topLeftCell="A21" activePane="bottomLeft" state="frozen"/>
      <selection pane="bottomLeft" activeCell="AF33" sqref="AF33"/>
    </sheetView>
  </sheetViews>
  <sheetFormatPr defaultRowHeight="20.25" customHeight="1"/>
  <cols>
    <col min="1" max="1" width="16.75" style="111" customWidth="1"/>
    <col min="2" max="12" width="9.75" style="111" customWidth="1"/>
    <col min="13" max="13" width="10.75" style="111" customWidth="1"/>
    <col min="14" max="14" width="22.75" style="111" customWidth="1"/>
    <col min="15" max="17" width="8.5" style="111" customWidth="1"/>
    <col min="18" max="18" width="9.75" style="111" bestFit="1" customWidth="1"/>
    <col min="19" max="19" width="10" style="111" customWidth="1"/>
    <col min="20" max="20" width="8.5" style="111" customWidth="1"/>
    <col min="21" max="21" width="9.125" style="111" customWidth="1"/>
    <col min="22" max="22" width="9.5" style="111" customWidth="1"/>
    <col min="23" max="23" width="12" style="111" customWidth="1"/>
    <col min="24" max="24" width="8.375" style="111" bestFit="1" customWidth="1"/>
    <col min="25" max="25" width="8.5" style="111" customWidth="1"/>
    <col min="26" max="26" width="11" style="111" bestFit="1" customWidth="1"/>
    <col min="27" max="28" width="9.25" style="112" hidden="1" customWidth="1"/>
    <col min="29" max="29" width="13.5" style="112" hidden="1" customWidth="1"/>
    <col min="30" max="31" width="5" style="111" customWidth="1"/>
    <col min="32" max="32" width="5.875" style="111" customWidth="1"/>
    <col min="33" max="16384" width="9" style="111"/>
  </cols>
  <sheetData>
    <row r="1" spans="1:32" s="107" customFormat="1" ht="20.25" customHeight="1">
      <c r="A1" s="106" t="s">
        <v>164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864" t="s">
        <v>138</v>
      </c>
      <c r="M1" s="864"/>
      <c r="N1" s="106" t="s">
        <v>164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864" t="s">
        <v>138</v>
      </c>
      <c r="AE1" s="864"/>
      <c r="AF1" s="864"/>
    </row>
    <row r="2" spans="1:32" s="108" customFormat="1" ht="20.25" customHeight="1">
      <c r="A2" s="853" t="s">
        <v>44</v>
      </c>
      <c r="B2" s="856" t="s">
        <v>181</v>
      </c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8"/>
      <c r="N2" s="853" t="s">
        <v>44</v>
      </c>
      <c r="O2" s="856" t="s">
        <v>222</v>
      </c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8"/>
      <c r="AA2" s="859" t="s">
        <v>165</v>
      </c>
      <c r="AB2" s="859" t="s">
        <v>166</v>
      </c>
      <c r="AC2" s="859" t="s">
        <v>167</v>
      </c>
      <c r="AD2" s="865" t="s">
        <v>207</v>
      </c>
      <c r="AE2" s="865" t="s">
        <v>208</v>
      </c>
      <c r="AF2" s="865" t="s">
        <v>209</v>
      </c>
    </row>
    <row r="3" spans="1:32" s="108" customFormat="1" ht="16.5" customHeight="1">
      <c r="A3" s="854"/>
      <c r="B3" s="856" t="s">
        <v>168</v>
      </c>
      <c r="C3" s="857"/>
      <c r="D3" s="857"/>
      <c r="E3" s="857"/>
      <c r="F3" s="858"/>
      <c r="G3" s="856" t="s">
        <v>169</v>
      </c>
      <c r="H3" s="857"/>
      <c r="I3" s="857"/>
      <c r="J3" s="857"/>
      <c r="K3" s="857"/>
      <c r="L3" s="858"/>
      <c r="M3" s="853" t="s">
        <v>87</v>
      </c>
      <c r="N3" s="854"/>
      <c r="O3" s="856" t="s">
        <v>168</v>
      </c>
      <c r="P3" s="857"/>
      <c r="Q3" s="857"/>
      <c r="R3" s="857"/>
      <c r="S3" s="858"/>
      <c r="T3" s="856" t="s">
        <v>169</v>
      </c>
      <c r="U3" s="857"/>
      <c r="V3" s="857"/>
      <c r="W3" s="857"/>
      <c r="X3" s="857"/>
      <c r="Y3" s="858"/>
      <c r="Z3" s="853" t="s">
        <v>87</v>
      </c>
      <c r="AA3" s="860"/>
      <c r="AB3" s="860"/>
      <c r="AC3" s="860"/>
      <c r="AD3" s="865"/>
      <c r="AE3" s="865"/>
      <c r="AF3" s="865"/>
    </row>
    <row r="4" spans="1:32" s="116" customFormat="1" ht="54.75" customHeight="1">
      <c r="A4" s="854"/>
      <c r="B4" s="607" t="s">
        <v>170</v>
      </c>
      <c r="C4" s="410" t="s">
        <v>171</v>
      </c>
      <c r="D4" s="115" t="s">
        <v>172</v>
      </c>
      <c r="E4" s="607" t="s">
        <v>173</v>
      </c>
      <c r="F4" s="862" t="s">
        <v>2</v>
      </c>
      <c r="G4" s="607" t="s">
        <v>170</v>
      </c>
      <c r="H4" s="607" t="s">
        <v>174</v>
      </c>
      <c r="I4" s="607" t="s">
        <v>175</v>
      </c>
      <c r="J4" s="410" t="s">
        <v>171</v>
      </c>
      <c r="K4" s="115" t="s">
        <v>172</v>
      </c>
      <c r="L4" s="605" t="s">
        <v>2</v>
      </c>
      <c r="M4" s="854"/>
      <c r="N4" s="854"/>
      <c r="O4" s="607" t="s">
        <v>170</v>
      </c>
      <c r="P4" s="607" t="s">
        <v>171</v>
      </c>
      <c r="Q4" s="607" t="s">
        <v>172</v>
      </c>
      <c r="R4" s="607" t="s">
        <v>173</v>
      </c>
      <c r="S4" s="862" t="s">
        <v>2</v>
      </c>
      <c r="T4" s="607" t="s">
        <v>170</v>
      </c>
      <c r="U4" s="607" t="s">
        <v>174</v>
      </c>
      <c r="V4" s="607" t="s">
        <v>175</v>
      </c>
      <c r="W4" s="607" t="s">
        <v>171</v>
      </c>
      <c r="X4" s="608" t="s">
        <v>223</v>
      </c>
      <c r="Y4" s="605" t="s">
        <v>2</v>
      </c>
      <c r="Z4" s="854"/>
      <c r="AA4" s="860"/>
      <c r="AB4" s="860"/>
      <c r="AC4" s="860"/>
      <c r="AD4" s="865"/>
      <c r="AE4" s="865"/>
      <c r="AF4" s="865"/>
    </row>
    <row r="5" spans="1:32" s="109" customFormat="1" ht="15" customHeight="1">
      <c r="A5" s="855"/>
      <c r="B5" s="385" t="s">
        <v>3</v>
      </c>
      <c r="C5" s="385" t="s">
        <v>6</v>
      </c>
      <c r="D5" s="385" t="s">
        <v>7</v>
      </c>
      <c r="E5" s="385" t="s">
        <v>8</v>
      </c>
      <c r="F5" s="863"/>
      <c r="G5" s="385" t="s">
        <v>3</v>
      </c>
      <c r="H5" s="385" t="s">
        <v>4</v>
      </c>
      <c r="I5" s="385" t="s">
        <v>5</v>
      </c>
      <c r="J5" s="385" t="s">
        <v>6</v>
      </c>
      <c r="K5" s="385" t="s">
        <v>7</v>
      </c>
      <c r="L5" s="386"/>
      <c r="M5" s="855"/>
      <c r="N5" s="606"/>
      <c r="O5" s="385" t="s">
        <v>3</v>
      </c>
      <c r="P5" s="385" t="s">
        <v>6</v>
      </c>
      <c r="Q5" s="385" t="s">
        <v>7</v>
      </c>
      <c r="R5" s="385" t="s">
        <v>8</v>
      </c>
      <c r="S5" s="863"/>
      <c r="T5" s="385" t="s">
        <v>3</v>
      </c>
      <c r="U5" s="385" t="s">
        <v>4</v>
      </c>
      <c r="V5" s="385" t="s">
        <v>5</v>
      </c>
      <c r="W5" s="385" t="s">
        <v>6</v>
      </c>
      <c r="X5" s="622">
        <v>5212</v>
      </c>
      <c r="Y5" s="386"/>
      <c r="Z5" s="855"/>
      <c r="AA5" s="861"/>
      <c r="AB5" s="861"/>
      <c r="AC5" s="861"/>
      <c r="AD5" s="865"/>
      <c r="AE5" s="865"/>
      <c r="AF5" s="865"/>
    </row>
    <row r="6" spans="1:32" s="117" customFormat="1" ht="18.75" customHeight="1">
      <c r="A6" s="387" t="s">
        <v>45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7" t="s">
        <v>45</v>
      </c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9"/>
      <c r="AB6" s="389"/>
      <c r="AC6" s="389"/>
      <c r="AD6" s="388"/>
      <c r="AE6" s="388"/>
      <c r="AF6" s="388"/>
    </row>
    <row r="7" spans="1:32" s="110" customFormat="1" ht="18.75" customHeight="1">
      <c r="A7" s="390" t="s">
        <v>176</v>
      </c>
      <c r="B7" s="395">
        <v>8883926.8900000006</v>
      </c>
      <c r="C7" s="396">
        <v>5836658.8099999996</v>
      </c>
      <c r="D7" s="620">
        <v>1297273.3</v>
      </c>
      <c r="E7" s="396">
        <v>0</v>
      </c>
      <c r="F7" s="397">
        <f>SUM(B7:E7)</f>
        <v>16017859</v>
      </c>
      <c r="G7" s="396">
        <v>0</v>
      </c>
      <c r="H7" s="396">
        <v>0</v>
      </c>
      <c r="I7" s="396">
        <v>407402.99</v>
      </c>
      <c r="J7" s="396">
        <v>9748119.4499999993</v>
      </c>
      <c r="K7" s="620"/>
      <c r="L7" s="397">
        <f>SUM(G7:K7)</f>
        <v>10155522.439999999</v>
      </c>
      <c r="M7" s="397">
        <f>L7+F7</f>
        <v>26173381.439999998</v>
      </c>
      <c r="N7" s="390" t="s">
        <v>176</v>
      </c>
      <c r="O7" s="395">
        <v>13223687.279999999</v>
      </c>
      <c r="P7" s="396">
        <v>4013771.39</v>
      </c>
      <c r="Q7" s="396">
        <v>1329680.1000000001</v>
      </c>
      <c r="R7" s="396"/>
      <c r="S7" s="396">
        <f t="shared" ref="S7:S17" si="0">SUM(O7:R7)</f>
        <v>18567138.77</v>
      </c>
      <c r="T7" s="396">
        <v>0</v>
      </c>
      <c r="U7" s="396"/>
      <c r="V7" s="396">
        <v>389886.23</v>
      </c>
      <c r="W7" s="396">
        <v>3043315.51</v>
      </c>
      <c r="X7" s="396">
        <v>200000</v>
      </c>
      <c r="Y7" s="396">
        <f>SUM(T7:X7)</f>
        <v>3633201.7399999998</v>
      </c>
      <c r="Z7" s="396">
        <f t="shared" ref="Z7:Z18" si="1">S7+Y7</f>
        <v>22200340.509999998</v>
      </c>
      <c r="AA7" s="397">
        <f t="shared" ref="AA7:AA28" si="2">S7-F7</f>
        <v>2549279.7699999996</v>
      </c>
      <c r="AB7" s="397">
        <f t="shared" ref="AB7:AB28" si="3">Y7-L7</f>
        <v>-6522320.6999999993</v>
      </c>
      <c r="AC7" s="397">
        <f t="shared" ref="AC7:AC28" si="4">Z7-M7</f>
        <v>-3973040.9299999997</v>
      </c>
      <c r="AD7" s="406">
        <f t="shared" ref="AD7:AD18" si="5">AA7*100/F7</f>
        <v>15.915234177051998</v>
      </c>
      <c r="AE7" s="406">
        <f t="shared" ref="AE7:AE18" si="6">AB7*100/L7</f>
        <v>-64.224373866875126</v>
      </c>
      <c r="AF7" s="406">
        <f t="shared" ref="AF7:AF18" si="7">AC7*100/M7</f>
        <v>-15.179700563749551</v>
      </c>
    </row>
    <row r="8" spans="1:32" s="110" customFormat="1" ht="18.75" customHeight="1">
      <c r="A8" s="391" t="s">
        <v>177</v>
      </c>
      <c r="B8" s="398">
        <v>11079071.640000001</v>
      </c>
      <c r="C8" s="398">
        <v>1321121.28</v>
      </c>
      <c r="D8" s="621">
        <v>226536.6</v>
      </c>
      <c r="E8" s="398">
        <v>0</v>
      </c>
      <c r="F8" s="399">
        <f t="shared" ref="F8:F17" si="8">SUM(B8:E8)</f>
        <v>12626729.52</v>
      </c>
      <c r="G8" s="398">
        <v>267830</v>
      </c>
      <c r="H8" s="398">
        <v>18000</v>
      </c>
      <c r="I8" s="398">
        <v>1542711.86</v>
      </c>
      <c r="J8" s="398">
        <v>2955493.4</v>
      </c>
      <c r="K8" s="621"/>
      <c r="L8" s="399">
        <f t="shared" ref="L8:L17" si="9">SUM(G8:K8)</f>
        <v>4784035.26</v>
      </c>
      <c r="M8" s="399">
        <f>L8+F8</f>
        <v>17410764.780000001</v>
      </c>
      <c r="N8" s="391" t="s">
        <v>177</v>
      </c>
      <c r="O8" s="398">
        <v>15515134.23</v>
      </c>
      <c r="P8" s="398">
        <v>1255542.78</v>
      </c>
      <c r="Q8" s="398">
        <v>202839.28</v>
      </c>
      <c r="R8" s="398"/>
      <c r="S8" s="396">
        <f t="shared" si="0"/>
        <v>16973516.289999999</v>
      </c>
      <c r="T8" s="398">
        <v>193360</v>
      </c>
      <c r="U8" s="398"/>
      <c r="V8" s="398">
        <v>907908.26</v>
      </c>
      <c r="W8" s="398">
        <v>1565638.16</v>
      </c>
      <c r="X8" s="398"/>
      <c r="Y8" s="398">
        <f>SUM(T8:X8)</f>
        <v>2666906.42</v>
      </c>
      <c r="Z8" s="398">
        <f t="shared" si="1"/>
        <v>19640422.710000001</v>
      </c>
      <c r="AA8" s="399">
        <f t="shared" si="2"/>
        <v>4346786.7699999996</v>
      </c>
      <c r="AB8" s="399">
        <f t="shared" si="3"/>
        <v>-2117128.84</v>
      </c>
      <c r="AC8" s="399">
        <f t="shared" si="4"/>
        <v>2229657.9299999997</v>
      </c>
      <c r="AD8" s="407">
        <f t="shared" si="5"/>
        <v>34.425278241012002</v>
      </c>
      <c r="AE8" s="407">
        <f t="shared" si="6"/>
        <v>-44.254039214585553</v>
      </c>
      <c r="AF8" s="407">
        <f t="shared" si="7"/>
        <v>12.806203278107807</v>
      </c>
    </row>
    <row r="9" spans="1:32" s="110" customFormat="1" ht="18.75" customHeight="1">
      <c r="A9" s="391" t="s">
        <v>48</v>
      </c>
      <c r="B9" s="398">
        <v>12306970.390000001</v>
      </c>
      <c r="C9" s="398">
        <v>1299156.25</v>
      </c>
      <c r="D9" s="621">
        <v>204954.75</v>
      </c>
      <c r="E9" s="398">
        <v>0</v>
      </c>
      <c r="F9" s="399">
        <f t="shared" si="8"/>
        <v>13811081.390000001</v>
      </c>
      <c r="G9" s="398">
        <v>356040</v>
      </c>
      <c r="H9" s="398">
        <v>0</v>
      </c>
      <c r="I9" s="398">
        <v>2761207.92</v>
      </c>
      <c r="J9" s="398">
        <v>1349269.15</v>
      </c>
      <c r="K9" s="621"/>
      <c r="L9" s="399">
        <f t="shared" si="9"/>
        <v>4466517.07</v>
      </c>
      <c r="M9" s="399">
        <f>L9+F9</f>
        <v>18277598.460000001</v>
      </c>
      <c r="N9" s="391" t="s">
        <v>48</v>
      </c>
      <c r="O9" s="398">
        <v>16170431.609999999</v>
      </c>
      <c r="P9" s="398">
        <v>1523833.97</v>
      </c>
      <c r="Q9" s="398">
        <v>208883.74</v>
      </c>
      <c r="R9" s="398"/>
      <c r="S9" s="396">
        <f t="shared" si="0"/>
        <v>17903149.319999997</v>
      </c>
      <c r="T9" s="398">
        <v>280940</v>
      </c>
      <c r="U9" s="398"/>
      <c r="V9" s="398">
        <v>2622627.2999999998</v>
      </c>
      <c r="W9" s="398">
        <v>863557.53</v>
      </c>
      <c r="X9" s="398"/>
      <c r="Y9" s="398">
        <f>SUM(T9:X9)</f>
        <v>3767124.83</v>
      </c>
      <c r="Z9" s="398">
        <f t="shared" si="1"/>
        <v>21670274.149999999</v>
      </c>
      <c r="AA9" s="399">
        <f t="shared" si="2"/>
        <v>4092067.929999996</v>
      </c>
      <c r="AB9" s="399">
        <f t="shared" si="3"/>
        <v>-699392.24000000022</v>
      </c>
      <c r="AC9" s="399">
        <f t="shared" si="4"/>
        <v>3392675.6899999976</v>
      </c>
      <c r="AD9" s="407">
        <f t="shared" si="5"/>
        <v>29.628874194911944</v>
      </c>
      <c r="AE9" s="407">
        <f t="shared" si="6"/>
        <v>-15.6585596570887</v>
      </c>
      <c r="AF9" s="407">
        <f t="shared" si="7"/>
        <v>18.561933600985768</v>
      </c>
    </row>
    <row r="10" spans="1:32" s="110" customFormat="1" ht="18.75" customHeight="1">
      <c r="A10" s="391" t="s">
        <v>49</v>
      </c>
      <c r="B10" s="398">
        <v>12211965.470000001</v>
      </c>
      <c r="C10" s="398">
        <v>1378224.7</v>
      </c>
      <c r="D10" s="621">
        <v>174239.7</v>
      </c>
      <c r="E10" s="398">
        <v>0</v>
      </c>
      <c r="F10" s="399">
        <f t="shared" si="8"/>
        <v>13764429.869999999</v>
      </c>
      <c r="G10" s="398">
        <v>352990</v>
      </c>
      <c r="H10" s="398">
        <v>97766.42</v>
      </c>
      <c r="I10" s="398">
        <v>3457681</v>
      </c>
      <c r="J10" s="398">
        <v>1917360.34</v>
      </c>
      <c r="K10" s="621"/>
      <c r="L10" s="399">
        <f t="shared" si="9"/>
        <v>5825797.7599999998</v>
      </c>
      <c r="M10" s="399">
        <f>L10+F10</f>
        <v>19590227.629999999</v>
      </c>
      <c r="N10" s="391" t="s">
        <v>49</v>
      </c>
      <c r="O10" s="398">
        <v>14004082.01</v>
      </c>
      <c r="P10" s="398">
        <v>2121537.2999999998</v>
      </c>
      <c r="Q10" s="398">
        <v>172674.65</v>
      </c>
      <c r="R10" s="398"/>
      <c r="S10" s="396">
        <f t="shared" si="0"/>
        <v>16298293.959999999</v>
      </c>
      <c r="T10" s="398">
        <v>318760</v>
      </c>
      <c r="U10" s="398"/>
      <c r="V10" s="398">
        <v>2927165.02</v>
      </c>
      <c r="W10" s="398">
        <v>1000400.4</v>
      </c>
      <c r="X10" s="398"/>
      <c r="Y10" s="407">
        <f t="shared" ref="Y10:Y17" si="10">SUM(T10:X10)</f>
        <v>4246325.42</v>
      </c>
      <c r="Z10" s="398">
        <f t="shared" si="1"/>
        <v>20544619.379999999</v>
      </c>
      <c r="AA10" s="399">
        <f t="shared" si="2"/>
        <v>2533864.09</v>
      </c>
      <c r="AB10" s="399">
        <f t="shared" si="3"/>
        <v>-1579472.3399999999</v>
      </c>
      <c r="AC10" s="399">
        <f t="shared" si="4"/>
        <v>954391.75</v>
      </c>
      <c r="AD10" s="407">
        <f t="shared" si="5"/>
        <v>18.408783465290018</v>
      </c>
      <c r="AE10" s="407">
        <f t="shared" si="6"/>
        <v>-27.111691910156527</v>
      </c>
      <c r="AF10" s="407">
        <f t="shared" si="7"/>
        <v>4.8717746828958113</v>
      </c>
    </row>
    <row r="11" spans="1:32" s="110" customFormat="1" ht="18.75" customHeight="1">
      <c r="A11" s="391" t="s">
        <v>50</v>
      </c>
      <c r="B11" s="398">
        <v>5101429.6399999997</v>
      </c>
      <c r="C11" s="398">
        <v>720904.7</v>
      </c>
      <c r="D11" s="398">
        <v>1957.88</v>
      </c>
      <c r="E11" s="398">
        <v>0</v>
      </c>
      <c r="F11" s="399">
        <f t="shared" si="8"/>
        <v>5824292.2199999997</v>
      </c>
      <c r="G11" s="398">
        <v>116500</v>
      </c>
      <c r="H11" s="398">
        <v>0</v>
      </c>
      <c r="I11" s="398">
        <v>854332.87</v>
      </c>
      <c r="J11" s="398">
        <v>359355.99</v>
      </c>
      <c r="K11" s="398"/>
      <c r="L11" s="399">
        <f t="shared" si="9"/>
        <v>1330188.8599999999</v>
      </c>
      <c r="M11" s="399">
        <f>L11+F11</f>
        <v>7154481.0800000001</v>
      </c>
      <c r="N11" s="391" t="s">
        <v>50</v>
      </c>
      <c r="O11" s="398">
        <v>13448642.18</v>
      </c>
      <c r="P11" s="398">
        <v>1834689.77</v>
      </c>
      <c r="Q11" s="398">
        <v>69264.39</v>
      </c>
      <c r="R11" s="398"/>
      <c r="S11" s="396">
        <f t="shared" si="0"/>
        <v>15352596.34</v>
      </c>
      <c r="T11" s="398">
        <v>149450</v>
      </c>
      <c r="U11" s="398"/>
      <c r="V11" s="398">
        <v>1725507.09</v>
      </c>
      <c r="W11" s="398">
        <v>883800.75</v>
      </c>
      <c r="X11" s="398"/>
      <c r="Y11" s="398">
        <f>SUM(T11:X11)</f>
        <v>2758757.84</v>
      </c>
      <c r="Z11" s="398">
        <f t="shared" si="1"/>
        <v>18111354.18</v>
      </c>
      <c r="AA11" s="399">
        <f t="shared" si="2"/>
        <v>9528304.120000001</v>
      </c>
      <c r="AB11" s="399">
        <f t="shared" si="3"/>
        <v>1428568.98</v>
      </c>
      <c r="AC11" s="399">
        <f t="shared" si="4"/>
        <v>10956873.1</v>
      </c>
      <c r="AD11" s="407">
        <f t="shared" si="5"/>
        <v>163.59591449207886</v>
      </c>
      <c r="AE11" s="407">
        <f t="shared" si="6"/>
        <v>107.39595127867784</v>
      </c>
      <c r="AF11" s="407">
        <f t="shared" si="7"/>
        <v>153.14699944667404</v>
      </c>
    </row>
    <row r="12" spans="1:32" s="626" customFormat="1" ht="18.75" customHeight="1">
      <c r="A12" s="624" t="s">
        <v>51</v>
      </c>
      <c r="B12" s="621">
        <v>1227139.8799999999</v>
      </c>
      <c r="C12" s="621">
        <v>237652.61</v>
      </c>
      <c r="D12" s="621">
        <v>28390.76</v>
      </c>
      <c r="E12" s="621">
        <v>0</v>
      </c>
      <c r="F12" s="625">
        <f t="shared" si="8"/>
        <v>1493183.2499999998</v>
      </c>
      <c r="G12" s="621">
        <v>35000</v>
      </c>
      <c r="H12" s="621">
        <v>0</v>
      </c>
      <c r="I12" s="621">
        <v>0</v>
      </c>
      <c r="J12" s="621">
        <v>406948.77</v>
      </c>
      <c r="K12" s="621"/>
      <c r="L12" s="625">
        <f t="shared" si="9"/>
        <v>441948.77</v>
      </c>
      <c r="M12" s="625">
        <f t="shared" ref="M12:M17" si="11">L12+F12</f>
        <v>1935132.0199999998</v>
      </c>
      <c r="N12" s="624" t="s">
        <v>51</v>
      </c>
      <c r="O12" s="621">
        <v>1655209.98</v>
      </c>
      <c r="P12" s="621">
        <v>77671.039999999994</v>
      </c>
      <c r="Q12" s="621">
        <v>29318.91</v>
      </c>
      <c r="R12" s="621"/>
      <c r="S12" s="620">
        <f t="shared" si="0"/>
        <v>1762199.93</v>
      </c>
      <c r="T12" s="621">
        <v>32156.799999999999</v>
      </c>
      <c r="U12" s="621"/>
      <c r="V12" s="621"/>
      <c r="W12" s="621">
        <v>1522464.87</v>
      </c>
      <c r="X12" s="621"/>
      <c r="Y12" s="621">
        <f>SUM(T12:X12)</f>
        <v>1554621.6700000002</v>
      </c>
      <c r="Z12" s="621">
        <f t="shared" si="1"/>
        <v>3316821.6</v>
      </c>
      <c r="AA12" s="625">
        <f t="shared" si="2"/>
        <v>269016.68000000017</v>
      </c>
      <c r="AB12" s="625">
        <f t="shared" si="3"/>
        <v>1112672.9000000001</v>
      </c>
      <c r="AC12" s="625">
        <f t="shared" si="4"/>
        <v>1381689.5800000003</v>
      </c>
      <c r="AD12" s="623">
        <f t="shared" si="5"/>
        <v>18.016320501854022</v>
      </c>
      <c r="AE12" s="623">
        <f t="shared" si="6"/>
        <v>251.76513105806362</v>
      </c>
      <c r="AF12" s="623">
        <f t="shared" si="7"/>
        <v>71.400274798822281</v>
      </c>
    </row>
    <row r="13" spans="1:32" s="110" customFormat="1" ht="18.75" customHeight="1">
      <c r="A13" s="392" t="s">
        <v>56</v>
      </c>
      <c r="B13" s="400">
        <v>2157504</v>
      </c>
      <c r="C13" s="400">
        <v>1471406.58</v>
      </c>
      <c r="D13" s="400">
        <v>0</v>
      </c>
      <c r="E13" s="400">
        <v>0</v>
      </c>
      <c r="F13" s="401">
        <f t="shared" si="8"/>
        <v>3628910.58</v>
      </c>
      <c r="G13" s="400">
        <v>23810</v>
      </c>
      <c r="H13" s="400">
        <v>317183</v>
      </c>
      <c r="I13" s="400">
        <v>49101</v>
      </c>
      <c r="J13" s="400">
        <v>3783043.06</v>
      </c>
      <c r="K13" s="400">
        <v>6155.62</v>
      </c>
      <c r="L13" s="401">
        <f t="shared" si="9"/>
        <v>4179292.68</v>
      </c>
      <c r="M13" s="401">
        <f>L13+F13</f>
        <v>7808203.2599999998</v>
      </c>
      <c r="N13" s="392" t="s">
        <v>56</v>
      </c>
      <c r="O13" s="400">
        <v>3433362</v>
      </c>
      <c r="P13" s="400">
        <v>1359047.16</v>
      </c>
      <c r="Q13" s="400">
        <v>15035.89</v>
      </c>
      <c r="R13" s="400"/>
      <c r="S13" s="396">
        <f t="shared" si="0"/>
        <v>4807445.05</v>
      </c>
      <c r="T13" s="400">
        <v>36820</v>
      </c>
      <c r="U13" s="400">
        <v>607420</v>
      </c>
      <c r="V13" s="400">
        <v>800</v>
      </c>
      <c r="W13" s="400">
        <v>3800647.28</v>
      </c>
      <c r="X13" s="400"/>
      <c r="Y13" s="400">
        <f t="shared" si="10"/>
        <v>4445687.2799999993</v>
      </c>
      <c r="Z13" s="400">
        <f t="shared" si="1"/>
        <v>9253132.3299999982</v>
      </c>
      <c r="AA13" s="401">
        <f t="shared" si="2"/>
        <v>1178534.4699999997</v>
      </c>
      <c r="AB13" s="401">
        <f t="shared" si="3"/>
        <v>266394.59999999916</v>
      </c>
      <c r="AC13" s="401">
        <f t="shared" si="4"/>
        <v>1444929.0699999984</v>
      </c>
      <c r="AD13" s="408">
        <f t="shared" si="5"/>
        <v>32.476260960941055</v>
      </c>
      <c r="AE13" s="408">
        <f t="shared" si="6"/>
        <v>6.3741551596716404</v>
      </c>
      <c r="AF13" s="408">
        <f t="shared" si="7"/>
        <v>18.505269674549925</v>
      </c>
    </row>
    <row r="14" spans="1:32" s="110" customFormat="1" ht="18.75" customHeight="1">
      <c r="A14" s="391" t="s">
        <v>53</v>
      </c>
      <c r="B14" s="398">
        <v>8729494.3399999999</v>
      </c>
      <c r="C14" s="398">
        <v>1866067.46</v>
      </c>
      <c r="D14" s="398">
        <v>288351.95</v>
      </c>
      <c r="E14" s="398">
        <v>0</v>
      </c>
      <c r="F14" s="399">
        <f t="shared" si="8"/>
        <v>10883913.75</v>
      </c>
      <c r="G14" s="398">
        <v>313340</v>
      </c>
      <c r="H14" s="398">
        <v>63630</v>
      </c>
      <c r="I14" s="398">
        <v>497277.03</v>
      </c>
      <c r="J14" s="398">
        <v>4245545.04</v>
      </c>
      <c r="K14" s="398"/>
      <c r="L14" s="399">
        <f t="shared" si="9"/>
        <v>5119792.07</v>
      </c>
      <c r="M14" s="399">
        <f>L14+F14</f>
        <v>16003705.82</v>
      </c>
      <c r="N14" s="391" t="s">
        <v>53</v>
      </c>
      <c r="O14" s="398">
        <v>13086124.48</v>
      </c>
      <c r="P14" s="398">
        <v>1684250.23</v>
      </c>
      <c r="Q14" s="398">
        <v>368474.25</v>
      </c>
      <c r="R14" s="398"/>
      <c r="S14" s="396">
        <f t="shared" si="0"/>
        <v>15138848.960000001</v>
      </c>
      <c r="T14" s="398">
        <v>249380</v>
      </c>
      <c r="U14" s="398">
        <v>20900</v>
      </c>
      <c r="V14" s="398">
        <v>216835</v>
      </c>
      <c r="W14" s="398">
        <v>4646726.2699999996</v>
      </c>
      <c r="X14" s="398"/>
      <c r="Y14" s="398">
        <f t="shared" si="10"/>
        <v>5133841.2699999996</v>
      </c>
      <c r="Z14" s="398">
        <f t="shared" si="1"/>
        <v>20272690.23</v>
      </c>
      <c r="AA14" s="399">
        <f t="shared" si="2"/>
        <v>4254935.2100000009</v>
      </c>
      <c r="AB14" s="399">
        <f t="shared" si="3"/>
        <v>14049.199999999255</v>
      </c>
      <c r="AC14" s="399">
        <f t="shared" si="4"/>
        <v>4268984.41</v>
      </c>
      <c r="AD14" s="407">
        <f t="shared" si="5"/>
        <v>39.093797578100073</v>
      </c>
      <c r="AE14" s="407">
        <f t="shared" si="6"/>
        <v>0.27440958163754597</v>
      </c>
      <c r="AF14" s="407">
        <f t="shared" si="7"/>
        <v>26.674974271677783</v>
      </c>
    </row>
    <row r="15" spans="1:32" s="117" customFormat="1" ht="18.75" customHeight="1">
      <c r="A15" s="391" t="s">
        <v>55</v>
      </c>
      <c r="B15" s="398">
        <v>13441162.710000001</v>
      </c>
      <c r="C15" s="398">
        <v>2145020.1</v>
      </c>
      <c r="D15" s="398">
        <v>119269.06</v>
      </c>
      <c r="E15" s="398">
        <v>0</v>
      </c>
      <c r="F15" s="399">
        <f t="shared" si="8"/>
        <v>15705451.870000001</v>
      </c>
      <c r="G15" s="398">
        <v>401710</v>
      </c>
      <c r="H15" s="398">
        <v>818120</v>
      </c>
      <c r="I15" s="398">
        <v>706526.38</v>
      </c>
      <c r="J15" s="398">
        <v>16378889.1</v>
      </c>
      <c r="K15" s="398"/>
      <c r="L15" s="399">
        <f t="shared" si="9"/>
        <v>18305245.48</v>
      </c>
      <c r="M15" s="399">
        <f>L15+F15</f>
        <v>34010697.350000001</v>
      </c>
      <c r="N15" s="391" t="s">
        <v>55</v>
      </c>
      <c r="O15" s="398">
        <v>21941771.899999999</v>
      </c>
      <c r="P15" s="398">
        <v>4275963.01</v>
      </c>
      <c r="Q15" s="398">
        <v>2747566.25</v>
      </c>
      <c r="R15" s="398"/>
      <c r="S15" s="396">
        <f t="shared" si="0"/>
        <v>28965301.159999996</v>
      </c>
      <c r="T15" s="398">
        <v>448950</v>
      </c>
      <c r="U15" s="398">
        <v>115775</v>
      </c>
      <c r="V15" s="398">
        <v>293330.01</v>
      </c>
      <c r="W15" s="398">
        <v>8310091.5899999999</v>
      </c>
      <c r="X15" s="398"/>
      <c r="Y15" s="398">
        <f t="shared" si="10"/>
        <v>9168146.5999999996</v>
      </c>
      <c r="Z15" s="398">
        <f t="shared" si="1"/>
        <v>38133447.759999998</v>
      </c>
      <c r="AA15" s="399">
        <f t="shared" si="2"/>
        <v>13259849.289999995</v>
      </c>
      <c r="AB15" s="399">
        <f t="shared" si="3"/>
        <v>-9137098.8800000008</v>
      </c>
      <c r="AC15" s="399">
        <f t="shared" si="4"/>
        <v>4122750.4099999964</v>
      </c>
      <c r="AD15" s="407">
        <f t="shared" si="5"/>
        <v>84.428320813414416</v>
      </c>
      <c r="AE15" s="407">
        <f t="shared" si="6"/>
        <v>-49.915194472442558</v>
      </c>
      <c r="AF15" s="407">
        <f t="shared" si="7"/>
        <v>12.121922604447851</v>
      </c>
    </row>
    <row r="16" spans="1:32" s="110" customFormat="1" ht="18.75" customHeight="1">
      <c r="A16" s="391" t="s">
        <v>54</v>
      </c>
      <c r="B16" s="398">
        <v>12476268.18</v>
      </c>
      <c r="C16" s="398">
        <v>1496420.78</v>
      </c>
      <c r="D16" s="398">
        <v>58401.4</v>
      </c>
      <c r="E16" s="398">
        <v>0</v>
      </c>
      <c r="F16" s="399">
        <f t="shared" si="8"/>
        <v>14031090.359999999</v>
      </c>
      <c r="G16" s="398">
        <v>379130</v>
      </c>
      <c r="H16" s="398">
        <v>0</v>
      </c>
      <c r="I16" s="398">
        <v>2473509.98</v>
      </c>
      <c r="J16" s="398">
        <v>757384.28</v>
      </c>
      <c r="K16" s="398"/>
      <c r="L16" s="399">
        <f t="shared" si="9"/>
        <v>3610024.26</v>
      </c>
      <c r="M16" s="399">
        <f>L16+F16</f>
        <v>17641114.619999997</v>
      </c>
      <c r="N16" s="391" t="s">
        <v>54</v>
      </c>
      <c r="O16" s="398">
        <v>18443660.140000001</v>
      </c>
      <c r="P16" s="398">
        <v>3110877.28</v>
      </c>
      <c r="Q16" s="398">
        <v>66232.759999999995</v>
      </c>
      <c r="R16" s="398"/>
      <c r="S16" s="396">
        <f t="shared" si="0"/>
        <v>21620770.180000003</v>
      </c>
      <c r="T16" s="398">
        <v>395280</v>
      </c>
      <c r="U16" s="398"/>
      <c r="V16" s="398">
        <v>2722765.29</v>
      </c>
      <c r="W16" s="398">
        <v>1059597.22</v>
      </c>
      <c r="X16" s="398"/>
      <c r="Y16" s="398">
        <f t="shared" si="10"/>
        <v>4177642.51</v>
      </c>
      <c r="Z16" s="398">
        <f t="shared" si="1"/>
        <v>25798412.690000005</v>
      </c>
      <c r="AA16" s="399">
        <f t="shared" si="2"/>
        <v>7589679.820000004</v>
      </c>
      <c r="AB16" s="399">
        <f t="shared" si="3"/>
        <v>567618.25</v>
      </c>
      <c r="AC16" s="399">
        <f t="shared" si="4"/>
        <v>8157298.0700000077</v>
      </c>
      <c r="AD16" s="407">
        <f t="shared" si="5"/>
        <v>54.091874724410253</v>
      </c>
      <c r="AE16" s="407">
        <f t="shared" si="6"/>
        <v>15.723391565241172</v>
      </c>
      <c r="AF16" s="407">
        <f t="shared" si="7"/>
        <v>46.240264550812199</v>
      </c>
    </row>
    <row r="17" spans="1:33" s="626" customFormat="1" ht="18.75" customHeight="1">
      <c r="A17" s="624" t="s">
        <v>52</v>
      </c>
      <c r="B17" s="621">
        <v>4093405.12</v>
      </c>
      <c r="C17" s="621">
        <v>8415369.6500000004</v>
      </c>
      <c r="D17" s="621">
        <v>7159776.1900000004</v>
      </c>
      <c r="E17" s="621">
        <v>0</v>
      </c>
      <c r="F17" s="625">
        <f t="shared" si="8"/>
        <v>19668550.960000001</v>
      </c>
      <c r="G17" s="621">
        <v>33943</v>
      </c>
      <c r="H17" s="621">
        <v>83600</v>
      </c>
      <c r="I17" s="621">
        <v>1060</v>
      </c>
      <c r="J17" s="621">
        <v>1284799.05</v>
      </c>
      <c r="K17" s="621"/>
      <c r="L17" s="625">
        <f t="shared" si="9"/>
        <v>1403402.05</v>
      </c>
      <c r="M17" s="625">
        <f t="shared" si="11"/>
        <v>21071953.010000002</v>
      </c>
      <c r="N17" s="624" t="s">
        <v>52</v>
      </c>
      <c r="O17" s="621">
        <v>8487574.1799999997</v>
      </c>
      <c r="P17" s="621">
        <v>756365.89</v>
      </c>
      <c r="Q17" s="621">
        <v>9444716.5399999991</v>
      </c>
      <c r="R17" s="621"/>
      <c r="S17" s="620">
        <f t="shared" si="0"/>
        <v>18688656.609999999</v>
      </c>
      <c r="T17" s="621">
        <v>62250</v>
      </c>
      <c r="U17" s="621">
        <v>960156.52</v>
      </c>
      <c r="V17" s="621">
        <v>5000</v>
      </c>
      <c r="W17" s="621">
        <v>9705375.6799999997</v>
      </c>
      <c r="X17" s="621"/>
      <c r="Y17" s="621">
        <f t="shared" si="10"/>
        <v>10732782.199999999</v>
      </c>
      <c r="Z17" s="621">
        <f t="shared" si="1"/>
        <v>29421438.809999999</v>
      </c>
      <c r="AA17" s="625">
        <f t="shared" si="2"/>
        <v>-979894.35000000149</v>
      </c>
      <c r="AB17" s="625">
        <f t="shared" si="3"/>
        <v>9329380.1499999985</v>
      </c>
      <c r="AC17" s="625">
        <f t="shared" si="4"/>
        <v>8349485.799999997</v>
      </c>
      <c r="AD17" s="623">
        <f t="shared" si="5"/>
        <v>-4.9820363075694596</v>
      </c>
      <c r="AE17" s="623">
        <f t="shared" si="6"/>
        <v>664.76888429798134</v>
      </c>
      <c r="AF17" s="623">
        <f t="shared" si="7"/>
        <v>39.62369219425284</v>
      </c>
    </row>
    <row r="18" spans="1:33" s="110" customFormat="1" ht="18.75" customHeight="1">
      <c r="A18" s="393" t="s">
        <v>178</v>
      </c>
      <c r="B18" s="402">
        <f t="shared" ref="B18:M18" si="12">SUM(B7:B17)</f>
        <v>91708338.26000002</v>
      </c>
      <c r="C18" s="402">
        <f t="shared" si="12"/>
        <v>26188002.919999994</v>
      </c>
      <c r="D18" s="402">
        <f t="shared" si="12"/>
        <v>9559151.5899999999</v>
      </c>
      <c r="E18" s="402">
        <f>SUM(E7:E17)</f>
        <v>0</v>
      </c>
      <c r="F18" s="402">
        <f>SUM(B18:E18)</f>
        <v>127455492.77000001</v>
      </c>
      <c r="G18" s="403">
        <f t="shared" si="12"/>
        <v>2280293</v>
      </c>
      <c r="H18" s="403">
        <f t="shared" si="12"/>
        <v>1398299.42</v>
      </c>
      <c r="I18" s="403">
        <f t="shared" si="12"/>
        <v>12750811.029999999</v>
      </c>
      <c r="J18" s="403">
        <f t="shared" si="12"/>
        <v>43186207.629999995</v>
      </c>
      <c r="K18" s="403"/>
      <c r="L18" s="402">
        <f t="shared" si="12"/>
        <v>59621766.699999996</v>
      </c>
      <c r="M18" s="402">
        <f t="shared" si="12"/>
        <v>187077259.47</v>
      </c>
      <c r="N18" s="393" t="s">
        <v>178</v>
      </c>
      <c r="O18" s="402">
        <f>SUM(O7:O17)</f>
        <v>139409679.99000001</v>
      </c>
      <c r="P18" s="402">
        <f t="shared" ref="P18:Y18" si="13">SUM(P7:P17)</f>
        <v>22013549.82</v>
      </c>
      <c r="Q18" s="402">
        <f t="shared" si="13"/>
        <v>14654686.759999998</v>
      </c>
      <c r="R18" s="402">
        <f t="shared" si="13"/>
        <v>0</v>
      </c>
      <c r="S18" s="402">
        <f t="shared" si="13"/>
        <v>176077916.56999999</v>
      </c>
      <c r="T18" s="402">
        <f t="shared" si="13"/>
        <v>2167346.7999999998</v>
      </c>
      <c r="U18" s="402">
        <f t="shared" si="13"/>
        <v>1704251.52</v>
      </c>
      <c r="V18" s="402">
        <f t="shared" si="13"/>
        <v>11811824.199999999</v>
      </c>
      <c r="W18" s="402">
        <f t="shared" si="13"/>
        <v>36401615.259999998</v>
      </c>
      <c r="X18" s="402">
        <f>SUM(X7:X17)</f>
        <v>200000</v>
      </c>
      <c r="Y18" s="402">
        <f t="shared" si="13"/>
        <v>52285037.780000001</v>
      </c>
      <c r="Z18" s="403">
        <f t="shared" si="1"/>
        <v>228362954.34999999</v>
      </c>
      <c r="AA18" s="402">
        <f t="shared" si="2"/>
        <v>48622423.799999982</v>
      </c>
      <c r="AB18" s="402">
        <f t="shared" si="3"/>
        <v>-7336728.9199999943</v>
      </c>
      <c r="AC18" s="402">
        <f t="shared" si="4"/>
        <v>41285694.879999995</v>
      </c>
      <c r="AD18" s="409">
        <f t="shared" si="5"/>
        <v>38.148551108536097</v>
      </c>
      <c r="AE18" s="409">
        <f t="shared" si="6"/>
        <v>-12.305453739598754</v>
      </c>
      <c r="AF18" s="409">
        <f t="shared" si="7"/>
        <v>22.068793928756815</v>
      </c>
    </row>
    <row r="19" spans="1:33" s="110" customFormat="1" ht="15" customHeight="1">
      <c r="A19" s="387" t="s">
        <v>58</v>
      </c>
      <c r="B19" s="499"/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387" t="s">
        <v>58</v>
      </c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499">
        <f t="shared" si="2"/>
        <v>0</v>
      </c>
      <c r="AB19" s="499">
        <f t="shared" si="3"/>
        <v>0</v>
      </c>
      <c r="AC19" s="499">
        <f t="shared" si="4"/>
        <v>0</v>
      </c>
      <c r="AD19" s="500"/>
      <c r="AE19" s="500"/>
      <c r="AF19" s="500"/>
    </row>
    <row r="20" spans="1:33" s="626" customFormat="1" ht="18.75" customHeight="1">
      <c r="A20" s="627" t="s">
        <v>51</v>
      </c>
      <c r="B20" s="620">
        <v>6363277.54</v>
      </c>
      <c r="C20" s="620">
        <v>1247676.24</v>
      </c>
      <c r="D20" s="628">
        <v>149051.47999999998</v>
      </c>
      <c r="E20" s="628">
        <v>0</v>
      </c>
      <c r="F20" s="629">
        <f>SUM(B20:E20)</f>
        <v>7760005.2599999998</v>
      </c>
      <c r="G20" s="620">
        <v>132690</v>
      </c>
      <c r="H20" s="620">
        <v>4781468.5999999996</v>
      </c>
      <c r="I20" s="620">
        <v>2036</v>
      </c>
      <c r="J20" s="620">
        <v>2999419.08</v>
      </c>
      <c r="K20" s="620"/>
      <c r="L20" s="629">
        <f>SUM(G20:K20)</f>
        <v>7915613.6799999997</v>
      </c>
      <c r="M20" s="629">
        <f>L20+F20</f>
        <v>15675618.939999999</v>
      </c>
      <c r="N20" s="627" t="s">
        <v>51</v>
      </c>
      <c r="O20" s="620">
        <v>8512127.6400000006</v>
      </c>
      <c r="P20" s="620">
        <v>407772.93</v>
      </c>
      <c r="Q20" s="628">
        <v>153924.23000000001</v>
      </c>
      <c r="R20" s="628"/>
      <c r="S20" s="628">
        <f t="shared" ref="S20:S26" si="14">SUM(O20:R20)</f>
        <v>9073824.8000000007</v>
      </c>
      <c r="T20" s="620">
        <v>168823.2</v>
      </c>
      <c r="U20" s="620">
        <v>6636406.0499999998</v>
      </c>
      <c r="V20" s="620">
        <v>15662</v>
      </c>
      <c r="W20" s="620">
        <v>2451284.2999999998</v>
      </c>
      <c r="X20" s="620"/>
      <c r="Y20" s="620">
        <f>SUM(T20:W20)</f>
        <v>9272175.5500000007</v>
      </c>
      <c r="Z20" s="620">
        <f t="shared" ref="Z20:Z26" si="15">S20+Y20</f>
        <v>18346000.350000001</v>
      </c>
      <c r="AA20" s="629">
        <f t="shared" si="2"/>
        <v>1313819.540000001</v>
      </c>
      <c r="AB20" s="629">
        <f t="shared" si="3"/>
        <v>1356561.870000001</v>
      </c>
      <c r="AC20" s="629">
        <f t="shared" si="4"/>
        <v>2670381.410000002</v>
      </c>
      <c r="AD20" s="630">
        <f t="shared" ref="AD20:AD28" si="16">AA20*100/F20</f>
        <v>16.930652699067899</v>
      </c>
      <c r="AE20" s="630">
        <f t="shared" ref="AE20:AE28" si="17">AB20*100/L20</f>
        <v>17.137797836541225</v>
      </c>
      <c r="AF20" s="630">
        <f t="shared" ref="AF20:AF28" si="18">AC20*100/M20</f>
        <v>17.035253409904605</v>
      </c>
    </row>
    <row r="21" spans="1:33" s="110" customFormat="1" ht="18.75" customHeight="1">
      <c r="A21" s="497" t="s">
        <v>63</v>
      </c>
      <c r="B21" s="400">
        <v>5638968.29</v>
      </c>
      <c r="C21" s="400">
        <v>480750.99</v>
      </c>
      <c r="D21" s="405">
        <v>10856.66</v>
      </c>
      <c r="E21" s="405">
        <v>1245142.1200000001</v>
      </c>
      <c r="F21" s="401">
        <f>SUM(B21:E21)</f>
        <v>7375718.0600000005</v>
      </c>
      <c r="G21" s="400">
        <v>27050</v>
      </c>
      <c r="H21" s="400">
        <v>610785</v>
      </c>
      <c r="I21" s="400">
        <v>5449211.4000000004</v>
      </c>
      <c r="J21" s="400">
        <v>6052350.8899999997</v>
      </c>
      <c r="K21" s="400"/>
      <c r="L21" s="401">
        <f t="shared" ref="L21:L26" si="19">SUM(G21:K21)</f>
        <v>12139397.289999999</v>
      </c>
      <c r="M21" s="401">
        <f>L21+F21</f>
        <v>19515115.350000001</v>
      </c>
      <c r="N21" s="497" t="s">
        <v>63</v>
      </c>
      <c r="O21" s="400">
        <v>9179650.2699999996</v>
      </c>
      <c r="P21" s="400">
        <v>812406.12</v>
      </c>
      <c r="Q21" s="405">
        <v>29846.37</v>
      </c>
      <c r="R21" s="405">
        <v>1293242.96</v>
      </c>
      <c r="S21" s="404">
        <f t="shared" si="14"/>
        <v>11315145.719999999</v>
      </c>
      <c r="T21" s="400">
        <v>41800</v>
      </c>
      <c r="U21" s="400">
        <v>1006982</v>
      </c>
      <c r="V21" s="400">
        <v>6082684.9000000004</v>
      </c>
      <c r="W21" s="400">
        <v>2874097.96</v>
      </c>
      <c r="X21" s="400"/>
      <c r="Y21" s="398">
        <f>SUM(T21:W21)</f>
        <v>10005564.859999999</v>
      </c>
      <c r="Z21" s="400">
        <f t="shared" si="15"/>
        <v>21320710.579999998</v>
      </c>
      <c r="AA21" s="401">
        <f t="shared" si="2"/>
        <v>3939427.6599999983</v>
      </c>
      <c r="AB21" s="401">
        <f t="shared" si="3"/>
        <v>-2133832.4299999997</v>
      </c>
      <c r="AC21" s="401">
        <f t="shared" si="4"/>
        <v>1805595.2299999967</v>
      </c>
      <c r="AD21" s="408">
        <f t="shared" si="16"/>
        <v>53.410767981551587</v>
      </c>
      <c r="AE21" s="408">
        <f t="shared" si="17"/>
        <v>-17.577746069467342</v>
      </c>
      <c r="AF21" s="408">
        <f t="shared" si="18"/>
        <v>9.252290840289584</v>
      </c>
    </row>
    <row r="22" spans="1:33" s="626" customFormat="1" ht="18.75" customHeight="1">
      <c r="A22" s="624" t="s">
        <v>52</v>
      </c>
      <c r="B22" s="621">
        <v>1754316.48</v>
      </c>
      <c r="C22" s="631">
        <v>9066615.4100000001</v>
      </c>
      <c r="D22" s="632">
        <v>10356963.83</v>
      </c>
      <c r="E22" s="632">
        <v>0</v>
      </c>
      <c r="F22" s="625">
        <f>SUM(B22:E22)</f>
        <v>21177895.719999999</v>
      </c>
      <c r="G22" s="621">
        <v>14547</v>
      </c>
      <c r="H22" s="621">
        <v>0</v>
      </c>
      <c r="I22" s="621">
        <v>0</v>
      </c>
      <c r="J22" s="633">
        <v>165974.66</v>
      </c>
      <c r="K22" s="633"/>
      <c r="L22" s="625">
        <f t="shared" si="19"/>
        <v>180521.66</v>
      </c>
      <c r="M22" s="625">
        <f>L22+F22</f>
        <v>21358417.379999999</v>
      </c>
      <c r="N22" s="624" t="s">
        <v>52</v>
      </c>
      <c r="O22" s="621"/>
      <c r="P22" s="631"/>
      <c r="Q22" s="632">
        <v>15235041.4</v>
      </c>
      <c r="R22" s="632"/>
      <c r="S22" s="632">
        <f t="shared" si="14"/>
        <v>15235041.4</v>
      </c>
      <c r="T22" s="621"/>
      <c r="U22" s="621"/>
      <c r="V22" s="621"/>
      <c r="W22" s="633">
        <v>9053187.0800000001</v>
      </c>
      <c r="X22" s="633"/>
      <c r="Y22" s="621">
        <f>SUM(T22:W22)</f>
        <v>9053187.0800000001</v>
      </c>
      <c r="Z22" s="621">
        <f t="shared" si="15"/>
        <v>24288228.48</v>
      </c>
      <c r="AA22" s="625">
        <f t="shared" si="2"/>
        <v>-5942854.3199999984</v>
      </c>
      <c r="AB22" s="625">
        <f t="shared" si="3"/>
        <v>8872665.4199999999</v>
      </c>
      <c r="AC22" s="625">
        <f t="shared" si="4"/>
        <v>2929811.1000000015</v>
      </c>
      <c r="AD22" s="623">
        <f t="shared" si="16"/>
        <v>-28.061590247550804</v>
      </c>
      <c r="AE22" s="623">
        <f t="shared" si="17"/>
        <v>4915.0143090862339</v>
      </c>
      <c r="AF22" s="623">
        <f t="shared" si="18"/>
        <v>13.717360457350521</v>
      </c>
    </row>
    <row r="23" spans="1:33" s="110" customFormat="1" ht="18.75" customHeight="1">
      <c r="A23" s="391" t="s">
        <v>59</v>
      </c>
      <c r="B23" s="398">
        <v>486682.19</v>
      </c>
      <c r="C23" s="398">
        <v>159803.85</v>
      </c>
      <c r="D23" s="404">
        <v>7770.1</v>
      </c>
      <c r="E23" s="404">
        <v>0</v>
      </c>
      <c r="F23" s="399">
        <f t="shared" ref="F23:F24" si="20">SUM(B23:E23)</f>
        <v>654256.14</v>
      </c>
      <c r="G23" s="398"/>
      <c r="H23" s="398">
        <v>9100</v>
      </c>
      <c r="I23" s="398">
        <v>120</v>
      </c>
      <c r="J23" s="398">
        <v>50260.66</v>
      </c>
      <c r="K23" s="398"/>
      <c r="L23" s="399">
        <f t="shared" si="19"/>
        <v>59480.66</v>
      </c>
      <c r="M23" s="399">
        <f>L23+F23</f>
        <v>713736.8</v>
      </c>
      <c r="N23" s="391" t="s">
        <v>59</v>
      </c>
      <c r="O23" s="398">
        <v>899861.38</v>
      </c>
      <c r="P23" s="398">
        <v>159747.81</v>
      </c>
      <c r="Q23" s="404">
        <v>11969.57</v>
      </c>
      <c r="R23" s="404"/>
      <c r="S23" s="404">
        <f t="shared" si="14"/>
        <v>1071578.76</v>
      </c>
      <c r="T23" s="398"/>
      <c r="U23" s="398">
        <v>15000</v>
      </c>
      <c r="V23" s="398">
        <v>345</v>
      </c>
      <c r="W23" s="398">
        <v>45756.08</v>
      </c>
      <c r="X23" s="398"/>
      <c r="Y23" s="398">
        <f>SUM(T23:W23)</f>
        <v>61101.08</v>
      </c>
      <c r="Z23" s="398">
        <f t="shared" si="15"/>
        <v>1132679.8400000001</v>
      </c>
      <c r="AA23" s="399">
        <f t="shared" si="2"/>
        <v>417322.62</v>
      </c>
      <c r="AB23" s="399">
        <f t="shared" si="3"/>
        <v>1620.4199999999983</v>
      </c>
      <c r="AC23" s="399">
        <f t="shared" si="4"/>
        <v>418943.04000000004</v>
      </c>
      <c r="AD23" s="407">
        <f t="shared" si="16"/>
        <v>63.785816362380643</v>
      </c>
      <c r="AE23" s="407">
        <f t="shared" si="17"/>
        <v>2.7242804635994258</v>
      </c>
      <c r="AF23" s="407">
        <f t="shared" si="18"/>
        <v>58.697133172900706</v>
      </c>
    </row>
    <row r="24" spans="1:33" s="110" customFormat="1" ht="18.75" customHeight="1">
      <c r="A24" s="391" t="s">
        <v>60</v>
      </c>
      <c r="B24" s="398">
        <v>1312940.23</v>
      </c>
      <c r="C24" s="398">
        <v>446063.85</v>
      </c>
      <c r="D24" s="404">
        <v>20586.099999999999</v>
      </c>
      <c r="E24" s="404">
        <v>0</v>
      </c>
      <c r="F24" s="399">
        <f t="shared" si="20"/>
        <v>1779590.1800000002</v>
      </c>
      <c r="G24" s="398">
        <v>30800</v>
      </c>
      <c r="H24" s="398">
        <v>114080</v>
      </c>
      <c r="I24" s="398">
        <v>5024</v>
      </c>
      <c r="J24" s="398">
        <v>91642.31</v>
      </c>
      <c r="K24" s="398"/>
      <c r="L24" s="399">
        <f t="shared" si="19"/>
        <v>241546.31</v>
      </c>
      <c r="M24" s="399">
        <f t="shared" ref="M24:M26" si="21">L24+F24</f>
        <v>2021136.4900000002</v>
      </c>
      <c r="N24" s="391" t="s">
        <v>60</v>
      </c>
      <c r="O24" s="398">
        <v>971431.34</v>
      </c>
      <c r="P24" s="398">
        <v>430407.81</v>
      </c>
      <c r="Q24" s="404">
        <v>12510.56</v>
      </c>
      <c r="R24" s="404"/>
      <c r="S24" s="404">
        <f t="shared" si="14"/>
        <v>1414349.71</v>
      </c>
      <c r="T24" s="398"/>
      <c r="U24" s="398">
        <v>216465</v>
      </c>
      <c r="V24" s="398">
        <v>724</v>
      </c>
      <c r="W24" s="398">
        <v>57135.95</v>
      </c>
      <c r="X24" s="398"/>
      <c r="Y24" s="398">
        <f t="shared" ref="Y24:Y26" si="22">SUM(T24:W24)</f>
        <v>274324.95</v>
      </c>
      <c r="Z24" s="398">
        <f t="shared" si="15"/>
        <v>1688674.66</v>
      </c>
      <c r="AA24" s="399">
        <f t="shared" si="2"/>
        <v>-365240.4700000002</v>
      </c>
      <c r="AB24" s="399">
        <f t="shared" si="3"/>
        <v>32778.640000000014</v>
      </c>
      <c r="AC24" s="399">
        <f t="shared" si="4"/>
        <v>-332461.83000000031</v>
      </c>
      <c r="AD24" s="407">
        <f t="shared" si="16"/>
        <v>-20.523852856953852</v>
      </c>
      <c r="AE24" s="407">
        <f t="shared" si="17"/>
        <v>13.570333572887126</v>
      </c>
      <c r="AF24" s="407">
        <f t="shared" si="18"/>
        <v>-16.44925177715238</v>
      </c>
      <c r="AG24" s="756"/>
    </row>
    <row r="25" spans="1:33" s="110" customFormat="1" ht="18.75" customHeight="1">
      <c r="A25" s="391" t="s">
        <v>179</v>
      </c>
      <c r="B25" s="398">
        <v>7424785.3700000001</v>
      </c>
      <c r="C25" s="398">
        <v>1022620</v>
      </c>
      <c r="D25" s="404">
        <v>285952.53999999998</v>
      </c>
      <c r="E25" s="404">
        <v>0</v>
      </c>
      <c r="F25" s="399">
        <f>SUM(B25:E25)</f>
        <v>8733357.9100000001</v>
      </c>
      <c r="G25" s="398">
        <v>11020</v>
      </c>
      <c r="H25" s="398">
        <v>0</v>
      </c>
      <c r="I25" s="398">
        <v>213326</v>
      </c>
      <c r="J25" s="398">
        <v>531188.57999999996</v>
      </c>
      <c r="K25" s="398"/>
      <c r="L25" s="399">
        <f t="shared" si="19"/>
        <v>755534.58</v>
      </c>
      <c r="M25" s="399">
        <f>L25+F25</f>
        <v>9488892.4900000002</v>
      </c>
      <c r="N25" s="398"/>
      <c r="O25" s="398">
        <v>11487272.01</v>
      </c>
      <c r="P25" s="398">
        <v>1368871.85</v>
      </c>
      <c r="Q25" s="404">
        <v>124478.99</v>
      </c>
      <c r="R25" s="404"/>
      <c r="S25" s="404">
        <f t="shared" si="14"/>
        <v>12980622.85</v>
      </c>
      <c r="T25" s="398">
        <v>16460</v>
      </c>
      <c r="U25" s="398"/>
      <c r="V25" s="398">
        <v>222673</v>
      </c>
      <c r="W25" s="398">
        <v>685278.65</v>
      </c>
      <c r="X25" s="398"/>
      <c r="Y25" s="398">
        <f>SUM(T25:W25)</f>
        <v>924411.65</v>
      </c>
      <c r="Z25" s="398">
        <f t="shared" si="15"/>
        <v>13905034.5</v>
      </c>
      <c r="AA25" s="399">
        <f t="shared" si="2"/>
        <v>4247264.9399999995</v>
      </c>
      <c r="AB25" s="399">
        <f t="shared" si="3"/>
        <v>168877.07000000007</v>
      </c>
      <c r="AC25" s="399">
        <f t="shared" si="4"/>
        <v>4416142.01</v>
      </c>
      <c r="AD25" s="407">
        <f t="shared" si="16"/>
        <v>48.63266779822149</v>
      </c>
      <c r="AE25" s="407">
        <f t="shared" si="17"/>
        <v>22.351997442658426</v>
      </c>
      <c r="AF25" s="407">
        <f t="shared" si="18"/>
        <v>46.540120616331272</v>
      </c>
    </row>
    <row r="26" spans="1:33" s="110" customFormat="1" ht="18.75" customHeight="1">
      <c r="A26" s="391" t="s">
        <v>62</v>
      </c>
      <c r="B26" s="398">
        <v>9304767.8200000003</v>
      </c>
      <c r="C26" s="398">
        <v>6280445.6699999999</v>
      </c>
      <c r="D26" s="404">
        <v>3438937.51</v>
      </c>
      <c r="E26" s="404">
        <v>0</v>
      </c>
      <c r="F26" s="399">
        <f>SUM(B26:E26)</f>
        <v>19024151</v>
      </c>
      <c r="G26" s="398">
        <v>157490</v>
      </c>
      <c r="H26" s="398">
        <v>230500</v>
      </c>
      <c r="I26" s="398">
        <v>750</v>
      </c>
      <c r="J26" s="398">
        <v>4464859.01</v>
      </c>
      <c r="K26" s="398"/>
      <c r="L26" s="399">
        <f t="shared" si="19"/>
        <v>4853599.01</v>
      </c>
      <c r="M26" s="399">
        <f t="shared" si="21"/>
        <v>23877750.009999998</v>
      </c>
      <c r="N26" s="398"/>
      <c r="O26" s="398">
        <v>13016282.720000001</v>
      </c>
      <c r="P26" s="398">
        <v>7584272.0499999998</v>
      </c>
      <c r="Q26" s="404">
        <v>1162024.71</v>
      </c>
      <c r="R26" s="404"/>
      <c r="S26" s="404">
        <f t="shared" si="14"/>
        <v>21762579.48</v>
      </c>
      <c r="T26" s="398">
        <v>107680</v>
      </c>
      <c r="U26" s="398">
        <v>542715</v>
      </c>
      <c r="V26" s="398"/>
      <c r="W26" s="398">
        <v>4372543.71</v>
      </c>
      <c r="X26" s="398"/>
      <c r="Y26" s="398">
        <f t="shared" si="22"/>
        <v>5022938.71</v>
      </c>
      <c r="Z26" s="398">
        <f t="shared" si="15"/>
        <v>26785518.190000001</v>
      </c>
      <c r="AA26" s="399">
        <f t="shared" si="2"/>
        <v>2738428.4800000004</v>
      </c>
      <c r="AB26" s="399">
        <f t="shared" si="3"/>
        <v>169339.70000000019</v>
      </c>
      <c r="AC26" s="399">
        <f t="shared" si="4"/>
        <v>2907768.1800000034</v>
      </c>
      <c r="AD26" s="407">
        <f t="shared" si="16"/>
        <v>14.394484568588636</v>
      </c>
      <c r="AE26" s="407">
        <f t="shared" si="17"/>
        <v>3.4889511814038423</v>
      </c>
      <c r="AF26" s="407">
        <f t="shared" si="18"/>
        <v>12.177731062525702</v>
      </c>
    </row>
    <row r="27" spans="1:33" s="110" customFormat="1" ht="18.75" customHeight="1">
      <c r="A27" s="393" t="s">
        <v>180</v>
      </c>
      <c r="B27" s="403">
        <f>SUM(B20:B26)</f>
        <v>32285737.920000002</v>
      </c>
      <c r="C27" s="403">
        <f t="shared" ref="C27:F27" si="23">SUM(C20:C26)</f>
        <v>18703976.009999998</v>
      </c>
      <c r="D27" s="403">
        <f t="shared" si="23"/>
        <v>14270118.219999999</v>
      </c>
      <c r="E27" s="403">
        <f t="shared" si="23"/>
        <v>1245142.1200000001</v>
      </c>
      <c r="F27" s="403">
        <f t="shared" si="23"/>
        <v>66504974.269999996</v>
      </c>
      <c r="G27" s="403">
        <f>SUM(G20:G26)</f>
        <v>373597</v>
      </c>
      <c r="H27" s="403">
        <f t="shared" ref="H27:L27" si="24">SUM(H20:H26)</f>
        <v>5745933.5999999996</v>
      </c>
      <c r="I27" s="403">
        <f t="shared" si="24"/>
        <v>5670467.4000000004</v>
      </c>
      <c r="J27" s="403">
        <f t="shared" si="24"/>
        <v>14355695.189999999</v>
      </c>
      <c r="K27" s="403"/>
      <c r="L27" s="403">
        <f t="shared" si="24"/>
        <v>26145693.189999998</v>
      </c>
      <c r="M27" s="403">
        <f>SUM(M20:M26)</f>
        <v>92650667.460000008</v>
      </c>
      <c r="N27" s="398"/>
      <c r="O27" s="403">
        <f>SUM(O20:O26)</f>
        <v>44066625.359999999</v>
      </c>
      <c r="P27" s="403">
        <f t="shared" ref="P27:Y27" si="25">SUM(P20:P26)</f>
        <v>10763478.57</v>
      </c>
      <c r="Q27" s="403">
        <f t="shared" si="25"/>
        <v>16729795.830000002</v>
      </c>
      <c r="R27" s="403">
        <f t="shared" si="25"/>
        <v>1293242.96</v>
      </c>
      <c r="S27" s="403">
        <f t="shared" si="25"/>
        <v>72853142.719999999</v>
      </c>
      <c r="T27" s="403">
        <f t="shared" si="25"/>
        <v>334763.2</v>
      </c>
      <c r="U27" s="403">
        <f t="shared" si="25"/>
        <v>8417568.0500000007</v>
      </c>
      <c r="V27" s="403">
        <f t="shared" si="25"/>
        <v>6322088.9000000004</v>
      </c>
      <c r="W27" s="403">
        <f t="shared" si="25"/>
        <v>19539283.73</v>
      </c>
      <c r="X27" s="403">
        <v>0</v>
      </c>
      <c r="Y27" s="403">
        <f t="shared" si="25"/>
        <v>34613703.879999995</v>
      </c>
      <c r="Z27" s="403">
        <f>+Y27+S27</f>
        <v>107466846.59999999</v>
      </c>
      <c r="AA27" s="402">
        <f t="shared" si="2"/>
        <v>6348168.450000003</v>
      </c>
      <c r="AB27" s="402">
        <f t="shared" si="3"/>
        <v>8468010.6899999976</v>
      </c>
      <c r="AC27" s="402">
        <f t="shared" si="4"/>
        <v>14816179.139999986</v>
      </c>
      <c r="AD27" s="409">
        <f t="shared" si="16"/>
        <v>9.5454039636605401</v>
      </c>
      <c r="AE27" s="409">
        <f t="shared" si="17"/>
        <v>32.387784207759225</v>
      </c>
      <c r="AF27" s="409">
        <f t="shared" si="18"/>
        <v>15.99144350082158</v>
      </c>
    </row>
    <row r="28" spans="1:33" s="110" customFormat="1" ht="18.75" customHeight="1">
      <c r="A28" s="394" t="s">
        <v>19</v>
      </c>
      <c r="B28" s="403">
        <f t="shared" ref="B28:L28" si="26">B27+B18</f>
        <v>123994076.18000002</v>
      </c>
      <c r="C28" s="403">
        <f t="shared" si="26"/>
        <v>44891978.929999992</v>
      </c>
      <c r="D28" s="403">
        <f t="shared" si="26"/>
        <v>23829269.809999999</v>
      </c>
      <c r="E28" s="403">
        <f t="shared" si="26"/>
        <v>1245142.1200000001</v>
      </c>
      <c r="F28" s="402">
        <f t="shared" si="26"/>
        <v>193960467.04000002</v>
      </c>
      <c r="G28" s="403">
        <f t="shared" si="26"/>
        <v>2653890</v>
      </c>
      <c r="H28" s="403">
        <f t="shared" si="26"/>
        <v>7144233.0199999996</v>
      </c>
      <c r="I28" s="403">
        <f t="shared" si="26"/>
        <v>18421278.43</v>
      </c>
      <c r="J28" s="403">
        <f t="shared" si="26"/>
        <v>57541902.819999993</v>
      </c>
      <c r="K28" s="403"/>
      <c r="L28" s="402">
        <f t="shared" si="26"/>
        <v>85767459.889999986</v>
      </c>
      <c r="M28" s="402">
        <f>M27+M18</f>
        <v>279727926.93000001</v>
      </c>
      <c r="N28" s="394" t="s">
        <v>19</v>
      </c>
      <c r="O28" s="403">
        <f t="shared" ref="O28:Y28" si="27">O27+O18</f>
        <v>183476305.35000002</v>
      </c>
      <c r="P28" s="403">
        <f t="shared" si="27"/>
        <v>32777028.390000001</v>
      </c>
      <c r="Q28" s="403">
        <f t="shared" si="27"/>
        <v>31384482.59</v>
      </c>
      <c r="R28" s="403">
        <f t="shared" si="27"/>
        <v>1293242.96</v>
      </c>
      <c r="S28" s="403">
        <f>S27+S18</f>
        <v>248931059.28999999</v>
      </c>
      <c r="T28" s="403">
        <f>T27+T18</f>
        <v>2502110</v>
      </c>
      <c r="U28" s="403">
        <f>U27+U18</f>
        <v>10121819.57</v>
      </c>
      <c r="V28" s="403">
        <f>V27+V18</f>
        <v>18133913.100000001</v>
      </c>
      <c r="W28" s="403">
        <f>W27+W18</f>
        <v>55940898.989999995</v>
      </c>
      <c r="X28" s="403">
        <f>SUM(X18+X27)</f>
        <v>200000</v>
      </c>
      <c r="Y28" s="403">
        <f t="shared" si="27"/>
        <v>86898741.659999996</v>
      </c>
      <c r="Z28" s="403">
        <f>Z27+Z18</f>
        <v>335829800.94999999</v>
      </c>
      <c r="AA28" s="402">
        <f t="shared" si="2"/>
        <v>54970592.24999997</v>
      </c>
      <c r="AB28" s="402">
        <f t="shared" si="3"/>
        <v>1131281.7700000107</v>
      </c>
      <c r="AC28" s="402">
        <f t="shared" si="4"/>
        <v>56101874.019999981</v>
      </c>
      <c r="AD28" s="409">
        <f t="shared" si="16"/>
        <v>28.341132133211204</v>
      </c>
      <c r="AE28" s="409">
        <f t="shared" si="17"/>
        <v>1.3190104632350339</v>
      </c>
      <c r="AF28" s="409">
        <f t="shared" si="18"/>
        <v>20.055871659192288</v>
      </c>
    </row>
    <row r="29" spans="1:33" ht="20.25" customHeight="1">
      <c r="Z29" s="498"/>
    </row>
    <row r="30" spans="1:33" ht="20.25" customHeight="1">
      <c r="Y30" s="111" t="s">
        <v>226</v>
      </c>
      <c r="Z30" s="634">
        <v>335829800.94999999</v>
      </c>
    </row>
    <row r="31" spans="1:33" ht="20.25" customHeight="1">
      <c r="Y31" s="111" t="s">
        <v>225</v>
      </c>
      <c r="Z31" s="111">
        <f>Z28-Z30</f>
        <v>0</v>
      </c>
    </row>
  </sheetData>
  <mergeCells count="20">
    <mergeCell ref="L1:M1"/>
    <mergeCell ref="AD1:AF1"/>
    <mergeCell ref="AB2:AB5"/>
    <mergeCell ref="AC2:AC5"/>
    <mergeCell ref="AD2:AD5"/>
    <mergeCell ref="AE2:AE5"/>
    <mergeCell ref="AF2:AF5"/>
    <mergeCell ref="A2:A5"/>
    <mergeCell ref="B2:M2"/>
    <mergeCell ref="N2:N4"/>
    <mergeCell ref="O2:Z2"/>
    <mergeCell ref="AA2:AA5"/>
    <mergeCell ref="B3:F3"/>
    <mergeCell ref="G3:L3"/>
    <mergeCell ref="M3:M5"/>
    <mergeCell ref="O3:S3"/>
    <mergeCell ref="T3:Y3"/>
    <mergeCell ref="Z3:Z5"/>
    <mergeCell ref="F4:F5"/>
    <mergeCell ref="S4:S5"/>
  </mergeCells>
  <printOptions horizontalCentered="1"/>
  <pageMargins left="0.70866141732283472" right="0.42" top="0.32" bottom="0.17" header="0.31496062992125984" footer="0.15748031496062992"/>
  <pageSetup paperSize="9" scale="82" orientation="landscape" r:id="rId1"/>
  <colBreaks count="1" manualBreakCount="1">
    <brk id="13" max="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5"/>
  <sheetViews>
    <sheetView topLeftCell="B1" zoomScale="110" zoomScaleNormal="110" workbookViewId="0">
      <selection activeCell="J47" sqref="J47"/>
    </sheetView>
  </sheetViews>
  <sheetFormatPr defaultRowHeight="21.75"/>
  <cols>
    <col min="1" max="1" width="6.75" style="81" customWidth="1"/>
    <col min="2" max="2" width="23.75" style="81" customWidth="1"/>
    <col min="3" max="5" width="13.125" style="69" customWidth="1"/>
    <col min="6" max="6" width="13.125" style="291" customWidth="1"/>
    <col min="7" max="8" width="13.125" style="81" customWidth="1"/>
    <col min="9" max="11" width="9.875" style="81" customWidth="1"/>
    <col min="12" max="14" width="4.75" style="81" customWidth="1"/>
    <col min="15" max="16384" width="9" style="81"/>
  </cols>
  <sheetData>
    <row r="1" spans="1:14">
      <c r="A1" s="844" t="s">
        <v>227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</row>
    <row r="2" spans="1:14">
      <c r="A2" s="81" t="s">
        <v>193</v>
      </c>
      <c r="L2" s="875" t="s">
        <v>111</v>
      </c>
      <c r="M2" s="875"/>
      <c r="N2" s="875"/>
    </row>
    <row r="3" spans="1:14" s="411" customFormat="1" ht="43.5" customHeight="1">
      <c r="A3" s="871" t="s">
        <v>182</v>
      </c>
      <c r="B3" s="871"/>
      <c r="C3" s="826" t="s">
        <v>158</v>
      </c>
      <c r="D3" s="826"/>
      <c r="E3" s="826"/>
      <c r="F3" s="871" t="s">
        <v>224</v>
      </c>
      <c r="G3" s="871"/>
      <c r="H3" s="871"/>
      <c r="I3" s="871" t="s">
        <v>112</v>
      </c>
      <c r="J3" s="871"/>
      <c r="K3" s="871"/>
      <c r="L3" s="872" t="s">
        <v>183</v>
      </c>
      <c r="M3" s="873"/>
      <c r="N3" s="874"/>
    </row>
    <row r="4" spans="1:14" s="411" customFormat="1" ht="61.5" customHeight="1">
      <c r="A4" s="871"/>
      <c r="B4" s="871"/>
      <c r="C4" s="114" t="s">
        <v>168</v>
      </c>
      <c r="D4" s="114" t="s">
        <v>169</v>
      </c>
      <c r="E4" s="114" t="s">
        <v>2</v>
      </c>
      <c r="F4" s="412" t="s">
        <v>168</v>
      </c>
      <c r="G4" s="118" t="s">
        <v>169</v>
      </c>
      <c r="H4" s="118" t="s">
        <v>2</v>
      </c>
      <c r="I4" s="413" t="s">
        <v>184</v>
      </c>
      <c r="J4" s="413" t="s">
        <v>185</v>
      </c>
      <c r="K4" s="413" t="s">
        <v>140</v>
      </c>
      <c r="L4" s="119" t="s">
        <v>168</v>
      </c>
      <c r="M4" s="119" t="s">
        <v>169</v>
      </c>
      <c r="N4" s="119" t="s">
        <v>87</v>
      </c>
    </row>
    <row r="5" spans="1:14" s="418" customFormat="1" ht="18.75" customHeight="1">
      <c r="A5" s="414" t="s">
        <v>186</v>
      </c>
      <c r="B5" s="414"/>
      <c r="C5" s="415">
        <v>9857090.4499999993</v>
      </c>
      <c r="D5" s="415"/>
      <c r="E5" s="416">
        <f>SUM(C5:D5)</f>
        <v>9857090.4499999993</v>
      </c>
      <c r="F5" s="417">
        <v>10641176.6</v>
      </c>
      <c r="G5" s="415"/>
      <c r="H5" s="416">
        <f>SUM(F5:G5)</f>
        <v>10641176.6</v>
      </c>
      <c r="I5" s="416">
        <f t="shared" ref="I5:K6" si="0">F5-C5</f>
        <v>784086.15000000037</v>
      </c>
      <c r="J5" s="416">
        <f t="shared" si="0"/>
        <v>0</v>
      </c>
      <c r="K5" s="416">
        <f t="shared" si="0"/>
        <v>784086.15000000037</v>
      </c>
      <c r="L5" s="416">
        <f>I5*100/C5</f>
        <v>7.9545394655478718</v>
      </c>
      <c r="M5" s="416">
        <v>0</v>
      </c>
      <c r="N5" s="416">
        <f>K5*100/E5</f>
        <v>7.9545394655478718</v>
      </c>
    </row>
    <row r="6" spans="1:14" s="418" customFormat="1" ht="18.75" customHeight="1">
      <c r="A6" s="866" t="s">
        <v>187</v>
      </c>
      <c r="B6" s="866"/>
      <c r="C6" s="419">
        <v>29353973.960000001</v>
      </c>
      <c r="D6" s="419">
        <v>4211387.99</v>
      </c>
      <c r="E6" s="420">
        <f>SUM(C6:D6)</f>
        <v>33565361.950000003</v>
      </c>
      <c r="F6" s="421">
        <v>19084445.399999999</v>
      </c>
      <c r="G6" s="419">
        <v>15499035.08</v>
      </c>
      <c r="H6" s="420">
        <f>SUM(F6:G6)</f>
        <v>34583480.479999997</v>
      </c>
      <c r="I6" s="420">
        <f t="shared" si="0"/>
        <v>-10269528.560000002</v>
      </c>
      <c r="J6" s="420">
        <f t="shared" si="0"/>
        <v>11287647.09</v>
      </c>
      <c r="K6" s="420">
        <f t="shared" si="0"/>
        <v>1018118.5299999937</v>
      </c>
      <c r="L6" s="420">
        <f>I6*100/C6</f>
        <v>-34.985138891224942</v>
      </c>
      <c r="M6" s="420">
        <f>J6*100/D6</f>
        <v>268.02676734612618</v>
      </c>
      <c r="N6" s="420">
        <f>K6*100/E6</f>
        <v>3.0332416242572164</v>
      </c>
    </row>
    <row r="7" spans="1:14" s="418" customFormat="1" ht="18.75" customHeight="1">
      <c r="A7" s="867" t="s">
        <v>202</v>
      </c>
      <c r="B7" s="867"/>
      <c r="C7" s="419">
        <v>4916496.22</v>
      </c>
      <c r="D7" s="419"/>
      <c r="E7" s="420">
        <f>SUM(C7:D7)</f>
        <v>4916496.22</v>
      </c>
      <c r="F7" s="421">
        <v>5625829.0800000001</v>
      </c>
      <c r="G7" s="419"/>
      <c r="H7" s="420">
        <f>SUM(F7:G7)</f>
        <v>5625829.0800000001</v>
      </c>
      <c r="I7" s="420">
        <f t="shared" ref="I7:K9" si="1">F7-C7</f>
        <v>709332.86000000034</v>
      </c>
      <c r="J7" s="420">
        <f t="shared" si="1"/>
        <v>0</v>
      </c>
      <c r="K7" s="420">
        <f t="shared" si="1"/>
        <v>709332.86000000034</v>
      </c>
      <c r="L7" s="420">
        <f>I7*100/C7</f>
        <v>14.427609180588373</v>
      </c>
      <c r="M7" s="420">
        <v>0</v>
      </c>
      <c r="N7" s="420">
        <f>K7*100/E7</f>
        <v>14.427609180588373</v>
      </c>
    </row>
    <row r="8" spans="1:14" s="418" customFormat="1" ht="40.5" customHeight="1">
      <c r="A8" s="868" t="s">
        <v>188</v>
      </c>
      <c r="B8" s="868"/>
      <c r="C8" s="422"/>
      <c r="D8" s="422">
        <v>20000000</v>
      </c>
      <c r="E8" s="423">
        <f>SUM(C8:D8)</f>
        <v>20000000</v>
      </c>
      <c r="F8" s="424"/>
      <c r="G8" s="422">
        <v>20000000</v>
      </c>
      <c r="H8" s="423">
        <f>SUM(F8:G8)</f>
        <v>20000000</v>
      </c>
      <c r="I8" s="423">
        <f t="shared" si="1"/>
        <v>0</v>
      </c>
      <c r="J8" s="423">
        <f t="shared" si="1"/>
        <v>0</v>
      </c>
      <c r="K8" s="423">
        <f t="shared" si="1"/>
        <v>0</v>
      </c>
      <c r="L8" s="423">
        <v>0</v>
      </c>
      <c r="M8" s="423">
        <f>J8*100/D8</f>
        <v>0</v>
      </c>
      <c r="N8" s="423">
        <f>K8*100/E8</f>
        <v>0</v>
      </c>
    </row>
    <row r="9" spans="1:14" s="427" customFormat="1">
      <c r="A9" s="869" t="s">
        <v>19</v>
      </c>
      <c r="B9" s="870"/>
      <c r="C9" s="425">
        <f t="shared" ref="C9:E9" si="2">SUM(C5:C8)</f>
        <v>44127560.629999995</v>
      </c>
      <c r="D9" s="425">
        <f t="shared" si="2"/>
        <v>24211387.990000002</v>
      </c>
      <c r="E9" s="425">
        <f t="shared" si="2"/>
        <v>68338948.620000005</v>
      </c>
      <c r="F9" s="426">
        <f t="shared" ref="F9:G9" si="3">SUM(F5:F8)</f>
        <v>35351451.079999998</v>
      </c>
      <c r="G9" s="425">
        <f t="shared" si="3"/>
        <v>35499035.079999998</v>
      </c>
      <c r="H9" s="425">
        <f>SUM(H5:H8)</f>
        <v>70850486.159999996</v>
      </c>
      <c r="I9" s="425">
        <f t="shared" si="1"/>
        <v>-8776109.549999997</v>
      </c>
      <c r="J9" s="425">
        <f t="shared" si="1"/>
        <v>11287647.089999996</v>
      </c>
      <c r="K9" s="425">
        <f t="shared" si="1"/>
        <v>2511537.5399999917</v>
      </c>
      <c r="L9" s="425">
        <f>I9*100/C9</f>
        <v>-19.888045984652923</v>
      </c>
      <c r="M9" s="425">
        <f>J9*100/D9</f>
        <v>46.621230863187677</v>
      </c>
      <c r="N9" s="425">
        <f>K9*100/E9</f>
        <v>3.675118787626428</v>
      </c>
    </row>
    <row r="10" spans="1:14" s="69" customFormat="1" ht="12.75" hidden="1" customHeight="1">
      <c r="C10" s="70"/>
      <c r="D10" s="70"/>
      <c r="E10" s="70"/>
      <c r="F10" s="292"/>
    </row>
    <row r="11" spans="1:14" hidden="1">
      <c r="D11" s="428">
        <v>14948969.379999999</v>
      </c>
    </row>
    <row r="12" spans="1:14" hidden="1"/>
    <row r="13" spans="1:14" hidden="1">
      <c r="B13" s="291">
        <v>5641953.9000000004</v>
      </c>
    </row>
    <row r="14" spans="1:14" hidden="1">
      <c r="B14" s="291">
        <v>2540711.62</v>
      </c>
    </row>
    <row r="15" spans="1:14" hidden="1">
      <c r="B15" s="291">
        <v>94382.32</v>
      </c>
    </row>
    <row r="16" spans="1:14" hidden="1">
      <c r="B16" s="291">
        <v>8992743.2200000007</v>
      </c>
    </row>
    <row r="17" spans="2:10" hidden="1">
      <c r="B17" s="291">
        <v>138830.97</v>
      </c>
    </row>
    <row r="18" spans="2:10" hidden="1">
      <c r="B18" s="291">
        <v>4260531.4800000004</v>
      </c>
    </row>
    <row r="19" spans="2:10" hidden="1">
      <c r="B19" s="291">
        <v>2782164</v>
      </c>
    </row>
    <row r="20" spans="2:10" hidden="1">
      <c r="B20" s="291">
        <v>2922363</v>
      </c>
    </row>
    <row r="21" spans="2:10" hidden="1">
      <c r="B21" s="291">
        <v>1405245</v>
      </c>
    </row>
    <row r="22" spans="2:10" hidden="1">
      <c r="B22" s="291">
        <v>95400</v>
      </c>
    </row>
    <row r="23" spans="2:10" hidden="1">
      <c r="B23" s="291">
        <v>1390000.02</v>
      </c>
    </row>
    <row r="24" spans="2:10" hidden="1">
      <c r="B24" s="291">
        <v>713839.8</v>
      </c>
    </row>
    <row r="25" spans="2:10" hidden="1">
      <c r="B25" s="291">
        <v>504000</v>
      </c>
    </row>
    <row r="26" spans="2:10" hidden="1">
      <c r="B26" s="291">
        <v>10323000</v>
      </c>
    </row>
    <row r="27" spans="2:10" hidden="1">
      <c r="B27" s="291">
        <v>349725.36</v>
      </c>
      <c r="J27" s="198"/>
    </row>
    <row r="28" spans="2:10" hidden="1">
      <c r="B28" s="291">
        <v>1516435</v>
      </c>
    </row>
    <row r="29" spans="2:10" hidden="1">
      <c r="B29" s="291">
        <v>140135</v>
      </c>
    </row>
    <row r="30" spans="2:10" hidden="1">
      <c r="B30" s="291">
        <v>1495570.1</v>
      </c>
    </row>
    <row r="31" spans="2:10" hidden="1"/>
    <row r="32" spans="2:10" hidden="1">
      <c r="B32" s="293">
        <f>SUM(B13:B31)</f>
        <v>45307030.789999999</v>
      </c>
    </row>
    <row r="33" spans="2:5" hidden="1">
      <c r="B33" s="291">
        <v>814884.73</v>
      </c>
    </row>
    <row r="34" spans="2:5" hidden="1">
      <c r="B34" s="291">
        <v>3734402</v>
      </c>
    </row>
    <row r="35" spans="2:5" hidden="1">
      <c r="B35" s="291">
        <v>20000000</v>
      </c>
    </row>
    <row r="36" spans="2:5" hidden="1"/>
    <row r="37" spans="2:5" hidden="1">
      <c r="B37" s="293">
        <f>+B32+B35</f>
        <v>65307030.789999999</v>
      </c>
    </row>
    <row r="38" spans="2:5" hidden="1"/>
    <row r="39" spans="2:5" hidden="1">
      <c r="B39" s="294">
        <f>+B32-C5-C7</f>
        <v>30533444.120000005</v>
      </c>
    </row>
    <row r="40" spans="2:5" hidden="1"/>
    <row r="41" spans="2:5" hidden="1">
      <c r="B41" s="293">
        <f>+B39-3501865.46</f>
        <v>27031578.660000004</v>
      </c>
    </row>
    <row r="42" spans="2:5" hidden="1"/>
    <row r="43" spans="2:5" hidden="1"/>
    <row r="45" spans="2:5">
      <c r="E45" s="496"/>
    </row>
  </sheetData>
  <mergeCells count="11">
    <mergeCell ref="A6:B6"/>
    <mergeCell ref="A7:B7"/>
    <mergeCell ref="A8:B8"/>
    <mergeCell ref="A9:B9"/>
    <mergeCell ref="A1:N1"/>
    <mergeCell ref="A3:B4"/>
    <mergeCell ref="C3:E3"/>
    <mergeCell ref="F3:H3"/>
    <mergeCell ref="I3:K3"/>
    <mergeCell ref="L3:N3"/>
    <mergeCell ref="L2:N2"/>
  </mergeCells>
  <printOptions horizontalCentered="1"/>
  <pageMargins left="0.70866141732283472" right="0.39370078740157483" top="0.55118110236220474" bottom="0.35433070866141736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J28"/>
  <sheetViews>
    <sheetView workbookViewId="0">
      <selection activeCell="H17" sqref="H17"/>
    </sheetView>
  </sheetViews>
  <sheetFormatPr defaultRowHeight="21.75"/>
  <cols>
    <col min="1" max="1" width="37.625" style="1" customWidth="1"/>
    <col min="2" max="2" width="12" style="1" customWidth="1"/>
    <col min="3" max="3" width="13.125" style="1" customWidth="1"/>
    <col min="4" max="4" width="13.875" style="1" bestFit="1" customWidth="1"/>
    <col min="5" max="5" width="9.625" style="1" bestFit="1" customWidth="1"/>
    <col min="6" max="16384" width="9" style="1"/>
  </cols>
  <sheetData>
    <row r="2" spans="1:5">
      <c r="A2" s="1" t="s">
        <v>156</v>
      </c>
      <c r="E2" s="2" t="s">
        <v>138</v>
      </c>
    </row>
    <row r="3" spans="1:5" s="105" customFormat="1">
      <c r="A3" s="877" t="s">
        <v>18</v>
      </c>
      <c r="B3" s="876" t="s">
        <v>157</v>
      </c>
      <c r="C3" s="876"/>
      <c r="D3" s="876"/>
      <c r="E3" s="876"/>
    </row>
    <row r="4" spans="1:5" s="105" customFormat="1" ht="43.5">
      <c r="A4" s="877"/>
      <c r="B4" s="103" t="s">
        <v>158</v>
      </c>
      <c r="C4" s="103" t="s">
        <v>224</v>
      </c>
      <c r="D4" s="103" t="s">
        <v>159</v>
      </c>
      <c r="E4" s="103" t="s">
        <v>160</v>
      </c>
    </row>
    <row r="5" spans="1:5">
      <c r="A5" s="636" t="s">
        <v>11</v>
      </c>
      <c r="B5" s="100">
        <v>136505056.63</v>
      </c>
      <c r="C5" s="100">
        <v>196619591.94999999</v>
      </c>
      <c r="D5" s="295">
        <f t="shared" ref="D5:D12" si="0">C5-B5</f>
        <v>60114535.319999993</v>
      </c>
      <c r="E5" s="104">
        <f>+D5/B5*100</f>
        <v>44.038321219807834</v>
      </c>
    </row>
    <row r="6" spans="1:5">
      <c r="A6" s="636" t="s">
        <v>12</v>
      </c>
      <c r="B6" s="100">
        <v>7144233.0199999996</v>
      </c>
      <c r="C6" s="100">
        <v>10121819.57</v>
      </c>
      <c r="D6" s="295">
        <f t="shared" si="0"/>
        <v>2977586.5500000007</v>
      </c>
      <c r="E6" s="104">
        <f>+D6/B6*100</f>
        <v>41.678183531589248</v>
      </c>
    </row>
    <row r="7" spans="1:5">
      <c r="A7" s="636" t="s">
        <v>13</v>
      </c>
      <c r="B7" s="100">
        <v>18421278.43</v>
      </c>
      <c r="C7" s="100">
        <v>18133913.100000001</v>
      </c>
      <c r="D7" s="295">
        <f t="shared" si="0"/>
        <v>-287365.32999999821</v>
      </c>
      <c r="E7" s="104">
        <f t="shared" ref="E7:E8" si="1">+D7/B7*100</f>
        <v>-1.5599640985394858</v>
      </c>
    </row>
    <row r="8" spans="1:5">
      <c r="A8" s="636" t="s">
        <v>14</v>
      </c>
      <c r="B8" s="100">
        <v>135999243.69999999</v>
      </c>
      <c r="C8" s="100">
        <v>123301407.86</v>
      </c>
      <c r="D8" s="295">
        <f t="shared" si="0"/>
        <v>-12697835.839999989</v>
      </c>
      <c r="E8" s="104">
        <f t="shared" si="1"/>
        <v>-9.3366959216406205</v>
      </c>
    </row>
    <row r="9" spans="1:5">
      <c r="A9" s="636" t="s">
        <v>15</v>
      </c>
      <c r="B9" s="100">
        <v>28751921.649999999</v>
      </c>
      <c r="C9" s="100">
        <v>37010311.670000002</v>
      </c>
      <c r="D9" s="295">
        <f t="shared" si="0"/>
        <v>8258390.0200000033</v>
      </c>
      <c r="E9" s="104">
        <f>+D9/B9*100</f>
        <v>28.722915012534489</v>
      </c>
    </row>
    <row r="10" spans="1:5">
      <c r="A10" s="636" t="s">
        <v>16</v>
      </c>
      <c r="B10" s="100">
        <v>20000000</v>
      </c>
      <c r="C10" s="100">
        <v>20000000</v>
      </c>
      <c r="D10" s="104">
        <f t="shared" si="0"/>
        <v>0</v>
      </c>
      <c r="E10" s="104">
        <f>+D10/B10*100</f>
        <v>0</v>
      </c>
    </row>
    <row r="11" spans="1:5">
      <c r="A11" s="636" t="s">
        <v>17</v>
      </c>
      <c r="B11" s="100">
        <v>1245142.1200000001</v>
      </c>
      <c r="C11" s="100">
        <v>1293242.96</v>
      </c>
      <c r="D11" s="295">
        <f t="shared" si="0"/>
        <v>48100.839999999851</v>
      </c>
      <c r="E11" s="104">
        <f>+D11/B11*100</f>
        <v>3.8630803044394519</v>
      </c>
    </row>
    <row r="12" spans="1:5">
      <c r="A12" s="635" t="s">
        <v>212</v>
      </c>
      <c r="B12" s="637">
        <v>0</v>
      </c>
      <c r="C12" s="100">
        <v>200000</v>
      </c>
      <c r="D12" s="295">
        <f t="shared" si="0"/>
        <v>200000</v>
      </c>
      <c r="E12" s="104">
        <v>100</v>
      </c>
    </row>
    <row r="13" spans="1:5">
      <c r="A13" s="101" t="s">
        <v>19</v>
      </c>
      <c r="B13" s="102">
        <f>SUM(B5:B12)</f>
        <v>348066875.54999995</v>
      </c>
      <c r="C13" s="102">
        <f>SUM(C5:C12)</f>
        <v>406680287.10999995</v>
      </c>
      <c r="D13" s="296">
        <f>SUM(D5:D12)</f>
        <v>58613411.560000002</v>
      </c>
      <c r="E13" s="104">
        <f>+D13/B13*100</f>
        <v>16.839698252636556</v>
      </c>
    </row>
    <row r="28" spans="10:10">
      <c r="J28" s="197"/>
    </row>
  </sheetData>
  <mergeCells count="2">
    <mergeCell ref="B3:E3"/>
    <mergeCell ref="A3:A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2:I24"/>
  <sheetViews>
    <sheetView workbookViewId="0">
      <selection activeCell="G5" sqref="G5"/>
    </sheetView>
  </sheetViews>
  <sheetFormatPr defaultRowHeight="24"/>
  <cols>
    <col min="1" max="1" width="48" style="3" customWidth="1"/>
    <col min="2" max="2" width="12.25" style="3" customWidth="1"/>
    <col min="3" max="3" width="12.875" style="3" customWidth="1"/>
    <col min="4" max="4" width="12.75" style="3" customWidth="1"/>
    <col min="5" max="5" width="10.75" style="3" bestFit="1" customWidth="1"/>
    <col min="6" max="16384" width="9" style="3"/>
  </cols>
  <sheetData>
    <row r="2" spans="1:5">
      <c r="A2" s="3" t="s">
        <v>161</v>
      </c>
      <c r="E2" s="249" t="s">
        <v>138</v>
      </c>
    </row>
    <row r="3" spans="1:5" s="4" customFormat="1">
      <c r="A3" s="878" t="s">
        <v>18</v>
      </c>
      <c r="B3" s="879" t="s">
        <v>162</v>
      </c>
      <c r="C3" s="879"/>
      <c r="D3" s="879"/>
      <c r="E3" s="879"/>
    </row>
    <row r="4" spans="1:5" s="4" customFormat="1" ht="48">
      <c r="A4" s="878"/>
      <c r="B4" s="250" t="s">
        <v>158</v>
      </c>
      <c r="C4" s="250" t="s">
        <v>224</v>
      </c>
      <c r="D4" s="250" t="s">
        <v>159</v>
      </c>
      <c r="E4" s="250" t="s">
        <v>160</v>
      </c>
    </row>
    <row r="5" spans="1:5" ht="25.5" customHeight="1">
      <c r="A5" s="251" t="s">
        <v>286</v>
      </c>
      <c r="B5" s="252">
        <v>98174.2</v>
      </c>
      <c r="C5" s="253">
        <v>156940.87</v>
      </c>
      <c r="D5" s="253">
        <f t="shared" ref="D5:D14" si="0">+C5-B5</f>
        <v>58766.67</v>
      </c>
      <c r="E5" s="253">
        <f>+D5/B5*100</f>
        <v>59.85958632716131</v>
      </c>
    </row>
    <row r="6" spans="1:5" ht="25.5" customHeight="1">
      <c r="A6" s="254" t="s">
        <v>287</v>
      </c>
      <c r="B6" s="255">
        <v>426166.36</v>
      </c>
      <c r="C6" s="256">
        <v>565779.54</v>
      </c>
      <c r="D6" s="256">
        <f t="shared" si="0"/>
        <v>139613.18000000005</v>
      </c>
      <c r="E6" s="256">
        <f t="shared" ref="E6:E14" si="1">+D6/B6*100</f>
        <v>32.760253531038927</v>
      </c>
    </row>
    <row r="7" spans="1:5" ht="74.25" customHeight="1">
      <c r="A7" s="753" t="s">
        <v>288</v>
      </c>
      <c r="B7" s="258">
        <v>32311.87</v>
      </c>
      <c r="C7" s="256">
        <v>51102.46</v>
      </c>
      <c r="D7" s="256">
        <f t="shared" si="0"/>
        <v>18790.59</v>
      </c>
      <c r="E7" s="256">
        <f t="shared" si="1"/>
        <v>58.153830155914847</v>
      </c>
    </row>
    <row r="8" spans="1:5" ht="48">
      <c r="A8" s="257" t="s">
        <v>289</v>
      </c>
      <c r="B8" s="258">
        <v>7613671.5899999999</v>
      </c>
      <c r="C8" s="256">
        <v>11441321.189999999</v>
      </c>
      <c r="D8" s="256">
        <f t="shared" si="0"/>
        <v>3827649.5999999996</v>
      </c>
      <c r="E8" s="256">
        <f t="shared" si="1"/>
        <v>50.273374084421206</v>
      </c>
    </row>
    <row r="9" spans="1:5" ht="25.5" customHeight="1">
      <c r="A9" s="257" t="s">
        <v>290</v>
      </c>
      <c r="B9" s="255">
        <v>8042212.9800000004</v>
      </c>
      <c r="C9" s="256">
        <v>10597785.33</v>
      </c>
      <c r="D9" s="256">
        <f t="shared" si="0"/>
        <v>2555572.3499999996</v>
      </c>
      <c r="E9" s="256">
        <f t="shared" si="1"/>
        <v>31.776979251300546</v>
      </c>
    </row>
    <row r="10" spans="1:5" ht="38.25" customHeight="1">
      <c r="A10" s="257" t="s">
        <v>291</v>
      </c>
      <c r="B10" s="258">
        <v>2668033.64</v>
      </c>
      <c r="C10" s="256">
        <v>4426221.68</v>
      </c>
      <c r="D10" s="256">
        <f t="shared" si="0"/>
        <v>1758188.0399999996</v>
      </c>
      <c r="E10" s="256">
        <f t="shared" si="1"/>
        <v>65.898271057781699</v>
      </c>
    </row>
    <row r="11" spans="1:5" ht="25.5" customHeight="1">
      <c r="A11" s="257" t="s">
        <v>292</v>
      </c>
      <c r="B11" s="255">
        <v>31267.77</v>
      </c>
      <c r="C11" s="256">
        <v>24347.49</v>
      </c>
      <c r="D11" s="256">
        <f t="shared" si="0"/>
        <v>-6920.2799999999988</v>
      </c>
      <c r="E11" s="256">
        <f t="shared" si="1"/>
        <v>-22.132310682853298</v>
      </c>
    </row>
    <row r="12" spans="1:5" ht="26.25" customHeight="1">
      <c r="A12" s="259" t="s">
        <v>293</v>
      </c>
      <c r="B12" s="258">
        <v>609.95000000000005</v>
      </c>
      <c r="C12" s="260">
        <v>794.82</v>
      </c>
      <c r="D12" s="256">
        <f t="shared" si="0"/>
        <v>184.87</v>
      </c>
      <c r="E12" s="256">
        <f t="shared" si="1"/>
        <v>30.309041724731532</v>
      </c>
    </row>
    <row r="13" spans="1:5">
      <c r="A13" s="259" t="s">
        <v>294</v>
      </c>
      <c r="B13" s="258">
        <v>14789.06</v>
      </c>
      <c r="C13" s="256">
        <v>27345.05</v>
      </c>
      <c r="D13" s="256">
        <f t="shared" si="0"/>
        <v>12555.99</v>
      </c>
      <c r="E13" s="256">
        <f t="shared" si="1"/>
        <v>84.90052782259319</v>
      </c>
    </row>
    <row r="14" spans="1:5" ht="25.5" customHeight="1">
      <c r="A14" s="754" t="s">
        <v>295</v>
      </c>
      <c r="B14" s="755">
        <v>14550.72</v>
      </c>
      <c r="C14" s="261">
        <v>18457.689999999999</v>
      </c>
      <c r="D14" s="261">
        <f t="shared" si="0"/>
        <v>3906.9699999999993</v>
      </c>
      <c r="E14" s="261">
        <f t="shared" si="1"/>
        <v>26.85069879703547</v>
      </c>
    </row>
    <row r="24" spans="9:9">
      <c r="I24" s="201"/>
    </row>
  </sheetData>
  <sortState ref="A6:J16">
    <sortCondition ref="F5:F16"/>
  </sortState>
  <mergeCells count="2">
    <mergeCell ref="A3:A4"/>
    <mergeCell ref="B3:E3"/>
  </mergeCells>
  <pageMargins left="0.70866141732283472" right="0.43307086614173229" top="0.74803149606299213" bottom="0.74803149606299213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6"/>
  <sheetViews>
    <sheetView workbookViewId="0">
      <selection activeCell="F10" sqref="F10"/>
    </sheetView>
  </sheetViews>
  <sheetFormatPr defaultRowHeight="24"/>
  <cols>
    <col min="1" max="1" width="42.75" style="3" customWidth="1"/>
    <col min="2" max="3" width="12.75" style="3" customWidth="1"/>
    <col min="4" max="4" width="13.25" style="3" customWidth="1"/>
    <col min="5" max="5" width="7" style="3" customWidth="1"/>
    <col min="6" max="16384" width="9" style="3"/>
  </cols>
  <sheetData>
    <row r="1" spans="1:5">
      <c r="A1" s="3" t="s">
        <v>163</v>
      </c>
      <c r="E1" s="249" t="s">
        <v>138</v>
      </c>
    </row>
    <row r="2" spans="1:5" s="4" customFormat="1">
      <c r="A2" s="878" t="s">
        <v>18</v>
      </c>
      <c r="B2" s="879" t="s">
        <v>162</v>
      </c>
      <c r="C2" s="879"/>
      <c r="D2" s="879"/>
      <c r="E2" s="879"/>
    </row>
    <row r="3" spans="1:5" s="4" customFormat="1" ht="48">
      <c r="A3" s="878"/>
      <c r="B3" s="250" t="s">
        <v>158</v>
      </c>
      <c r="C3" s="250" t="s">
        <v>224</v>
      </c>
      <c r="D3" s="250" t="s">
        <v>159</v>
      </c>
      <c r="E3" s="250" t="s">
        <v>160</v>
      </c>
    </row>
    <row r="4" spans="1:5">
      <c r="A4" s="266" t="s">
        <v>151</v>
      </c>
      <c r="B4" s="262">
        <v>115392.04</v>
      </c>
      <c r="C4" s="262">
        <v>57234.78</v>
      </c>
      <c r="D4" s="262">
        <f t="shared" ref="D4:D7" si="0">+C4-B4</f>
        <v>-58157.259999999995</v>
      </c>
      <c r="E4" s="262">
        <f>+D4/B4*100</f>
        <v>-50.39971561296602</v>
      </c>
    </row>
    <row r="5" spans="1:5">
      <c r="A5" s="267" t="s">
        <v>296</v>
      </c>
      <c r="B5" s="264">
        <v>147352.29999999999</v>
      </c>
      <c r="C5" s="264">
        <v>221800.32000000001</v>
      </c>
      <c r="D5" s="264">
        <f>+C5-B5</f>
        <v>74448.020000000019</v>
      </c>
      <c r="E5" s="264">
        <f>+D5/B5*100</f>
        <v>50.523826231419541</v>
      </c>
    </row>
    <row r="6" spans="1:5" ht="48">
      <c r="A6" s="263" t="s">
        <v>297</v>
      </c>
      <c r="B6" s="264">
        <v>198986.97</v>
      </c>
      <c r="C6" s="264">
        <v>246216.79</v>
      </c>
      <c r="D6" s="264">
        <f>+C6-B6</f>
        <v>47229.820000000007</v>
      </c>
      <c r="E6" s="264">
        <f>+D6/B6*100</f>
        <v>23.735132003869403</v>
      </c>
    </row>
    <row r="7" spans="1:5" ht="48">
      <c r="A7" s="263" t="s">
        <v>298</v>
      </c>
      <c r="B7" s="264">
        <v>1561859.57</v>
      </c>
      <c r="C7" s="264">
        <v>2065904.74</v>
      </c>
      <c r="D7" s="264">
        <f t="shared" si="0"/>
        <v>504045.16999999993</v>
      </c>
      <c r="E7" s="264">
        <f t="shared" ref="E7" si="1">+D7/B7*100</f>
        <v>32.272118420992221</v>
      </c>
    </row>
    <row r="8" spans="1:5" ht="48">
      <c r="A8" s="268" t="s">
        <v>299</v>
      </c>
      <c r="B8" s="264">
        <v>47960.68</v>
      </c>
      <c r="C8" s="264">
        <v>68115.39</v>
      </c>
      <c r="D8" s="264">
        <f>+C8-B8</f>
        <v>20154.71</v>
      </c>
      <c r="E8" s="264">
        <f>+D8/B8*100</f>
        <v>42.023403337900959</v>
      </c>
    </row>
    <row r="9" spans="1:5" ht="48">
      <c r="A9" s="269" t="s">
        <v>300</v>
      </c>
      <c r="B9" s="265">
        <v>10213849.76</v>
      </c>
      <c r="C9" s="265">
        <v>14414663.890000001</v>
      </c>
      <c r="D9" s="265">
        <f>+C9-B9</f>
        <v>4200814.1300000008</v>
      </c>
      <c r="E9" s="265">
        <f>+D9/B9*100</f>
        <v>41.12860702583901</v>
      </c>
    </row>
    <row r="26" spans="9:9">
      <c r="I26" s="201"/>
    </row>
  </sheetData>
  <mergeCells count="2">
    <mergeCell ref="A2:A3"/>
    <mergeCell ref="B2:E2"/>
  </mergeCells>
  <pageMargins left="0.70866141732283472" right="0.27559055118110237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42"/>
  <sheetViews>
    <sheetView zoomScaleNormal="100" workbookViewId="0">
      <selection activeCell="B7" sqref="B7"/>
    </sheetView>
  </sheetViews>
  <sheetFormatPr defaultRowHeight="21.75"/>
  <cols>
    <col min="1" max="1" width="18.875" style="1" customWidth="1"/>
    <col min="2" max="2" width="12.375" style="15" bestFit="1" customWidth="1"/>
    <col min="3" max="3" width="10.25" style="15" customWidth="1"/>
    <col min="4" max="4" width="10.5" style="15" customWidth="1"/>
    <col min="5" max="5" width="11.75" style="15" bestFit="1" customWidth="1"/>
    <col min="6" max="7" width="10.625" style="15" customWidth="1"/>
    <col min="8" max="8" width="9.5" style="15" customWidth="1"/>
    <col min="9" max="9" width="14" style="15" bestFit="1" customWidth="1"/>
    <col min="10" max="10" width="10.5" style="1" bestFit="1" customWidth="1"/>
    <col min="11" max="11" width="10.5" style="1" customWidth="1"/>
    <col min="12" max="12" width="9.875" style="1" customWidth="1"/>
    <col min="13" max="13" width="10.25" style="1" customWidth="1"/>
    <col min="14" max="14" width="11.75" style="1" bestFit="1" customWidth="1"/>
    <col min="15" max="15" width="12.625" style="1" bestFit="1" customWidth="1"/>
    <col min="16" max="16" width="9" style="1"/>
    <col min="17" max="17" width="10.5" style="1" bestFit="1" customWidth="1"/>
    <col min="18" max="16384" width="9" style="1"/>
  </cols>
  <sheetData>
    <row r="1" spans="1:17" s="4" customFormat="1" ht="24">
      <c r="A1" s="4" t="s">
        <v>190</v>
      </c>
      <c r="B1" s="153"/>
      <c r="C1" s="153"/>
      <c r="D1" s="153"/>
      <c r="E1" s="153"/>
      <c r="F1" s="153"/>
      <c r="G1" s="153"/>
      <c r="H1" s="153"/>
      <c r="I1" s="153"/>
      <c r="O1" s="154" t="s">
        <v>10</v>
      </c>
    </row>
    <row r="2" spans="1:17" s="105" customFormat="1">
      <c r="A2" s="788" t="s">
        <v>44</v>
      </c>
      <c r="B2" s="794" t="s">
        <v>37</v>
      </c>
      <c r="C2" s="795"/>
      <c r="D2" s="795"/>
      <c r="E2" s="795"/>
      <c r="F2" s="795"/>
      <c r="G2" s="795"/>
      <c r="H2" s="796"/>
      <c r="I2" s="791" t="s">
        <v>2</v>
      </c>
      <c r="J2" s="794" t="s">
        <v>57</v>
      </c>
      <c r="K2" s="795"/>
      <c r="L2" s="795"/>
      <c r="M2" s="795"/>
      <c r="N2" s="796"/>
      <c r="O2" s="788" t="s">
        <v>2</v>
      </c>
    </row>
    <row r="3" spans="1:17" s="105" customFormat="1" ht="89.25" customHeight="1">
      <c r="A3" s="789"/>
      <c r="B3" s="16" t="s">
        <v>38</v>
      </c>
      <c r="C3" s="16" t="s">
        <v>39</v>
      </c>
      <c r="D3" s="16" t="s">
        <v>40</v>
      </c>
      <c r="E3" s="16" t="s">
        <v>41</v>
      </c>
      <c r="F3" s="270" t="s">
        <v>196</v>
      </c>
      <c r="G3" s="505" t="s">
        <v>43</v>
      </c>
      <c r="H3" s="505" t="s">
        <v>213</v>
      </c>
      <c r="I3" s="792"/>
      <c r="J3" s="17" t="s">
        <v>38</v>
      </c>
      <c r="K3" s="17" t="s">
        <v>41</v>
      </c>
      <c r="L3" s="270" t="s">
        <v>196</v>
      </c>
      <c r="M3" s="132" t="s">
        <v>42</v>
      </c>
      <c r="N3" s="788" t="s">
        <v>2</v>
      </c>
      <c r="O3" s="789"/>
    </row>
    <row r="4" spans="1:17" s="105" customFormat="1" ht="21" customHeight="1">
      <c r="A4" s="790"/>
      <c r="B4" s="133">
        <v>5101</v>
      </c>
      <c r="C4" s="133">
        <v>5102</v>
      </c>
      <c r="D4" s="133">
        <v>5103</v>
      </c>
      <c r="E4" s="133">
        <v>5104</v>
      </c>
      <c r="F4" s="133">
        <v>5105</v>
      </c>
      <c r="G4" s="504">
        <v>5107</v>
      </c>
      <c r="H4" s="133">
        <v>5212</v>
      </c>
      <c r="I4" s="793"/>
      <c r="J4" s="133">
        <v>5101</v>
      </c>
      <c r="K4" s="133">
        <v>5104</v>
      </c>
      <c r="L4" s="133">
        <v>5105</v>
      </c>
      <c r="M4" s="133">
        <v>5106</v>
      </c>
      <c r="N4" s="790"/>
      <c r="O4" s="790"/>
    </row>
    <row r="5" spans="1:17" s="138" customFormat="1" ht="21" customHeight="1">
      <c r="A5" s="134" t="s">
        <v>45</v>
      </c>
      <c r="B5" s="135"/>
      <c r="C5" s="135"/>
      <c r="D5" s="135"/>
      <c r="E5" s="135"/>
      <c r="F5" s="135"/>
      <c r="G5" s="135"/>
      <c r="H5" s="135"/>
      <c r="I5" s="136"/>
      <c r="J5" s="137"/>
      <c r="K5" s="137"/>
      <c r="L5" s="137"/>
      <c r="M5" s="137"/>
      <c r="N5" s="137"/>
      <c r="O5" s="137"/>
    </row>
    <row r="6" spans="1:17" s="581" customFormat="1" ht="21" customHeight="1">
      <c r="A6" s="593" t="s">
        <v>46</v>
      </c>
      <c r="B6" s="594">
        <v>13223687.279999999</v>
      </c>
      <c r="C6" s="594">
        <v>0</v>
      </c>
      <c r="D6" s="594">
        <v>389886.23</v>
      </c>
      <c r="E6" s="594">
        <v>7057086.8999999994</v>
      </c>
      <c r="F6" s="594">
        <v>1329680.1000000001</v>
      </c>
      <c r="G6" s="594">
        <v>0</v>
      </c>
      <c r="H6" s="594">
        <v>200000</v>
      </c>
      <c r="I6" s="595">
        <f>SUM(B6:H6)</f>
        <v>22200340.510000002</v>
      </c>
      <c r="J6" s="596">
        <v>705492.36999999988</v>
      </c>
      <c r="K6" s="596">
        <v>1812768.0899999996</v>
      </c>
      <c r="L6" s="596">
        <v>357646.86</v>
      </c>
      <c r="M6" s="596">
        <v>800000</v>
      </c>
      <c r="N6" s="596">
        <f>SUM(J6:M6)</f>
        <v>3675907.3199999994</v>
      </c>
      <c r="O6" s="596">
        <f>+I6+N6</f>
        <v>25876247.830000002</v>
      </c>
      <c r="Q6" s="582"/>
    </row>
    <row r="7" spans="1:17" s="581" customFormat="1" ht="21" customHeight="1">
      <c r="A7" s="597" t="s">
        <v>47</v>
      </c>
      <c r="B7" s="598">
        <v>15708494.23</v>
      </c>
      <c r="C7" s="598">
        <v>0</v>
      </c>
      <c r="D7" s="598">
        <v>907908.26</v>
      </c>
      <c r="E7" s="598">
        <v>2821180.9400000004</v>
      </c>
      <c r="F7" s="598">
        <v>202839.28000000003</v>
      </c>
      <c r="G7" s="598">
        <v>0</v>
      </c>
      <c r="H7" s="598">
        <v>0</v>
      </c>
      <c r="I7" s="599">
        <f>SUM(B7:H7)</f>
        <v>19640422.710000001</v>
      </c>
      <c r="J7" s="600">
        <v>823074.42999999993</v>
      </c>
      <c r="K7" s="600">
        <v>3307317.5100000002</v>
      </c>
      <c r="L7" s="600">
        <v>402823.14</v>
      </c>
      <c r="M7" s="601">
        <v>2750000</v>
      </c>
      <c r="N7" s="596">
        <f>SUM(J7:M7)</f>
        <v>7283215.0800000001</v>
      </c>
      <c r="O7" s="602">
        <f t="shared" ref="O7:O24" si="0">+I7+N7</f>
        <v>26923637.789999999</v>
      </c>
      <c r="Q7" s="582"/>
    </row>
    <row r="8" spans="1:17" s="138" customFormat="1" ht="21" customHeight="1">
      <c r="A8" s="140" t="s">
        <v>48</v>
      </c>
      <c r="B8" s="141">
        <v>16451371.609999999</v>
      </c>
      <c r="C8" s="141">
        <v>0</v>
      </c>
      <c r="D8" s="141">
        <v>2622627.2999999998</v>
      </c>
      <c r="E8" s="141">
        <v>2387391.5</v>
      </c>
      <c r="F8" s="141">
        <v>208883.74000000002</v>
      </c>
      <c r="G8" s="141">
        <v>0</v>
      </c>
      <c r="H8" s="141">
        <v>0</v>
      </c>
      <c r="I8" s="142">
        <f t="shared" ref="I8:I24" si="1">SUM(B8:H8)</f>
        <v>21670274.149999999</v>
      </c>
      <c r="J8" s="143">
        <v>911260.9800000001</v>
      </c>
      <c r="K8" s="143">
        <v>4734073.4400000004</v>
      </c>
      <c r="L8" s="143">
        <v>445982.75000000006</v>
      </c>
      <c r="M8" s="143">
        <v>2750000</v>
      </c>
      <c r="N8" s="139">
        <f t="shared" ref="N8:N24" si="2">SUM(J8:M8)</f>
        <v>8841317.1700000018</v>
      </c>
      <c r="O8" s="143">
        <f t="shared" si="0"/>
        <v>30511591.32</v>
      </c>
      <c r="Q8" s="580"/>
    </row>
    <row r="9" spans="1:17" s="138" customFormat="1" ht="21" customHeight="1">
      <c r="A9" s="140" t="s">
        <v>49</v>
      </c>
      <c r="B9" s="141">
        <v>14322842.01</v>
      </c>
      <c r="C9" s="141">
        <v>0</v>
      </c>
      <c r="D9" s="141">
        <v>2927165.02</v>
      </c>
      <c r="E9" s="141">
        <v>3121937.7</v>
      </c>
      <c r="F9" s="141">
        <v>172674.64999999997</v>
      </c>
      <c r="G9" s="141">
        <v>0</v>
      </c>
      <c r="H9" s="141">
        <v>0</v>
      </c>
      <c r="I9" s="142">
        <f t="shared" si="1"/>
        <v>20544619.379999999</v>
      </c>
      <c r="J9" s="143">
        <v>852469.95000000007</v>
      </c>
      <c r="K9" s="143">
        <v>3620193.79</v>
      </c>
      <c r="L9" s="143">
        <v>417209.67</v>
      </c>
      <c r="M9" s="143">
        <v>2750000</v>
      </c>
      <c r="N9" s="139">
        <f t="shared" si="2"/>
        <v>7639873.4100000001</v>
      </c>
      <c r="O9" s="143">
        <f t="shared" si="0"/>
        <v>28184492.789999999</v>
      </c>
      <c r="Q9" s="580"/>
    </row>
    <row r="10" spans="1:17" s="138" customFormat="1" ht="21" customHeight="1">
      <c r="A10" s="140" t="s">
        <v>50</v>
      </c>
      <c r="B10" s="141">
        <v>13598092.18</v>
      </c>
      <c r="C10" s="141">
        <v>0</v>
      </c>
      <c r="D10" s="141">
        <v>1725507.0899999999</v>
      </c>
      <c r="E10" s="141">
        <v>2718490.52</v>
      </c>
      <c r="F10" s="141">
        <v>69264.39</v>
      </c>
      <c r="G10" s="141">
        <v>0</v>
      </c>
      <c r="H10" s="141">
        <v>0</v>
      </c>
      <c r="I10" s="142">
        <f t="shared" si="1"/>
        <v>18111354.18</v>
      </c>
      <c r="J10" s="143">
        <v>676096.8600000001</v>
      </c>
      <c r="K10" s="143">
        <v>3312189.64</v>
      </c>
      <c r="L10" s="143">
        <v>330890.44</v>
      </c>
      <c r="M10" s="143">
        <v>2750000</v>
      </c>
      <c r="N10" s="139">
        <f t="shared" si="2"/>
        <v>7069176.9400000004</v>
      </c>
      <c r="O10" s="143">
        <f t="shared" si="0"/>
        <v>25180531.120000001</v>
      </c>
      <c r="Q10" s="580"/>
    </row>
    <row r="11" spans="1:17" s="588" customFormat="1" ht="21" customHeight="1">
      <c r="A11" s="590" t="s">
        <v>51</v>
      </c>
      <c r="B11" s="583">
        <v>1687366.78</v>
      </c>
      <c r="C11" s="583">
        <v>0</v>
      </c>
      <c r="D11" s="583">
        <v>0</v>
      </c>
      <c r="E11" s="583">
        <v>1600135.91</v>
      </c>
      <c r="F11" s="583">
        <v>29318.91</v>
      </c>
      <c r="G11" s="583">
        <v>0</v>
      </c>
      <c r="H11" s="583">
        <v>0</v>
      </c>
      <c r="I11" s="591">
        <f t="shared" si="1"/>
        <v>3316821.6</v>
      </c>
      <c r="J11" s="592">
        <v>112878.78</v>
      </c>
      <c r="K11" s="592">
        <v>328499.34000000003</v>
      </c>
      <c r="L11" s="592">
        <v>74257.06</v>
      </c>
      <c r="M11" s="592">
        <v>128000</v>
      </c>
      <c r="N11" s="587">
        <f t="shared" si="2"/>
        <v>643635.17999999993</v>
      </c>
      <c r="O11" s="592">
        <f t="shared" si="0"/>
        <v>3960456.7800000003</v>
      </c>
      <c r="Q11" s="589"/>
    </row>
    <row r="12" spans="1:17" s="138" customFormat="1" ht="21" customHeight="1">
      <c r="A12" s="140" t="s">
        <v>56</v>
      </c>
      <c r="B12" s="141">
        <v>3470182</v>
      </c>
      <c r="C12" s="141">
        <v>607420</v>
      </c>
      <c r="D12" s="141">
        <v>800</v>
      </c>
      <c r="E12" s="141">
        <v>5159694.4400000004</v>
      </c>
      <c r="F12" s="141">
        <v>15035.890000000003</v>
      </c>
      <c r="G12" s="141">
        <v>0</v>
      </c>
      <c r="H12" s="141">
        <v>0</v>
      </c>
      <c r="I12" s="142">
        <f>SUM(B12:H12)</f>
        <v>9253132.3300000019</v>
      </c>
      <c r="J12" s="143">
        <v>235164.13</v>
      </c>
      <c r="K12" s="143">
        <v>763086.94000000006</v>
      </c>
      <c r="L12" s="143">
        <v>103436.54000000001</v>
      </c>
      <c r="M12" s="143">
        <v>700000</v>
      </c>
      <c r="N12" s="139">
        <f t="shared" si="2"/>
        <v>1801687.61</v>
      </c>
      <c r="O12" s="143">
        <f t="shared" si="0"/>
        <v>11054819.940000001</v>
      </c>
      <c r="Q12" s="580"/>
    </row>
    <row r="13" spans="1:17" s="138" customFormat="1" ht="21" customHeight="1">
      <c r="A13" s="140" t="s">
        <v>53</v>
      </c>
      <c r="B13" s="141">
        <v>13335504.48</v>
      </c>
      <c r="C13" s="141">
        <v>20900</v>
      </c>
      <c r="D13" s="141">
        <v>216835</v>
      </c>
      <c r="E13" s="141">
        <v>6330976.5</v>
      </c>
      <c r="F13" s="141">
        <v>368474.25</v>
      </c>
      <c r="G13" s="141">
        <v>0</v>
      </c>
      <c r="H13" s="141">
        <v>0</v>
      </c>
      <c r="I13" s="142">
        <f t="shared" si="1"/>
        <v>20272690.23</v>
      </c>
      <c r="J13" s="143">
        <v>823074.42999999993</v>
      </c>
      <c r="K13" s="143">
        <v>1897613.3199999998</v>
      </c>
      <c r="L13" s="143">
        <v>354940.45000000007</v>
      </c>
      <c r="M13" s="143">
        <v>800000</v>
      </c>
      <c r="N13" s="139">
        <f t="shared" si="2"/>
        <v>3875628.2</v>
      </c>
      <c r="O13" s="143">
        <f t="shared" si="0"/>
        <v>24148318.43</v>
      </c>
      <c r="Q13" s="580"/>
    </row>
    <row r="14" spans="1:17" s="138" customFormat="1" ht="21" customHeight="1">
      <c r="A14" s="140" t="s">
        <v>54</v>
      </c>
      <c r="B14" s="141">
        <v>18838940.140000001</v>
      </c>
      <c r="C14" s="141">
        <v>0</v>
      </c>
      <c r="D14" s="141">
        <v>2722765.29</v>
      </c>
      <c r="E14" s="141">
        <v>4170474.5</v>
      </c>
      <c r="F14" s="141">
        <v>66232.760000000009</v>
      </c>
      <c r="G14" s="141">
        <v>0</v>
      </c>
      <c r="H14" s="141">
        <v>0</v>
      </c>
      <c r="I14" s="142">
        <f t="shared" si="1"/>
        <v>25798412.690000001</v>
      </c>
      <c r="J14" s="143">
        <v>1205216.1299999999</v>
      </c>
      <c r="K14" s="143">
        <v>2676750.86</v>
      </c>
      <c r="L14" s="143">
        <v>479605.55000000005</v>
      </c>
      <c r="M14" s="143">
        <v>2750000</v>
      </c>
      <c r="N14" s="139">
        <f t="shared" si="2"/>
        <v>7111572.54</v>
      </c>
      <c r="O14" s="143">
        <f t="shared" si="0"/>
        <v>32909985.23</v>
      </c>
      <c r="Q14" s="580"/>
    </row>
    <row r="15" spans="1:17" s="138" customFormat="1" ht="21" customHeight="1">
      <c r="A15" s="140" t="s">
        <v>55</v>
      </c>
      <c r="B15" s="141">
        <v>22390721.899999999</v>
      </c>
      <c r="C15" s="141">
        <v>115775</v>
      </c>
      <c r="D15" s="141">
        <v>293330.01</v>
      </c>
      <c r="E15" s="141">
        <v>12586054.6</v>
      </c>
      <c r="F15" s="141">
        <v>2747566.25</v>
      </c>
      <c r="G15" s="141">
        <v>0</v>
      </c>
      <c r="H15" s="141">
        <v>0</v>
      </c>
      <c r="I15" s="142">
        <f t="shared" si="1"/>
        <v>38133447.759999998</v>
      </c>
      <c r="J15" s="143">
        <v>1322798.2</v>
      </c>
      <c r="K15" s="143">
        <v>3175305.4899999998</v>
      </c>
      <c r="L15" s="143">
        <v>658122.60000000009</v>
      </c>
      <c r="M15" s="143">
        <v>800000</v>
      </c>
      <c r="N15" s="139">
        <f t="shared" si="2"/>
        <v>5956226.2899999991</v>
      </c>
      <c r="O15" s="143">
        <f t="shared" si="0"/>
        <v>44089674.049999997</v>
      </c>
      <c r="Q15" s="580"/>
    </row>
    <row r="16" spans="1:17" s="588" customFormat="1" ht="21" customHeight="1">
      <c r="A16" s="619" t="s">
        <v>52</v>
      </c>
      <c r="B16" s="616">
        <v>8549824.1799999997</v>
      </c>
      <c r="C16" s="616">
        <v>960156.52</v>
      </c>
      <c r="D16" s="616">
        <v>5000</v>
      </c>
      <c r="E16" s="616">
        <v>10461741.57</v>
      </c>
      <c r="F16" s="616">
        <v>9444716.5399999991</v>
      </c>
      <c r="G16" s="616">
        <v>0</v>
      </c>
      <c r="H16" s="616">
        <v>0</v>
      </c>
      <c r="I16" s="617">
        <f>SUM(B16:H16)</f>
        <v>29421438.809999999</v>
      </c>
      <c r="J16" s="618">
        <v>448387.24</v>
      </c>
      <c r="K16" s="618">
        <v>1611600.24</v>
      </c>
      <c r="L16" s="618">
        <v>455500.81</v>
      </c>
      <c r="M16" s="618">
        <v>250000</v>
      </c>
      <c r="N16" s="618">
        <f>SUM(J16:M16)</f>
        <v>2765488.29</v>
      </c>
      <c r="O16" s="618">
        <f>+I16+N16</f>
        <v>32186927.099999998</v>
      </c>
      <c r="Q16" s="589"/>
    </row>
    <row r="17" spans="1:17" s="138" customFormat="1" ht="21" customHeight="1">
      <c r="A17" s="134" t="s">
        <v>58</v>
      </c>
      <c r="B17" s="135"/>
      <c r="C17" s="135"/>
      <c r="D17" s="135"/>
      <c r="E17" s="135"/>
      <c r="F17" s="135"/>
      <c r="G17" s="135"/>
      <c r="H17" s="135"/>
      <c r="I17" s="148"/>
      <c r="J17" s="137"/>
      <c r="K17" s="137"/>
      <c r="L17" s="137"/>
      <c r="M17" s="137"/>
      <c r="N17" s="139">
        <f t="shared" si="2"/>
        <v>0</v>
      </c>
      <c r="O17" s="137">
        <f t="shared" si="0"/>
        <v>0</v>
      </c>
      <c r="Q17" s="580"/>
    </row>
    <row r="18" spans="1:17" s="588" customFormat="1" ht="21" customHeight="1">
      <c r="A18" s="584" t="s">
        <v>51</v>
      </c>
      <c r="B18" s="585">
        <v>8680950.8399999999</v>
      </c>
      <c r="C18" s="585">
        <v>6636406.0499999998</v>
      </c>
      <c r="D18" s="585">
        <v>15662</v>
      </c>
      <c r="E18" s="585">
        <v>2859057.23</v>
      </c>
      <c r="F18" s="585">
        <v>153924.23000000001</v>
      </c>
      <c r="G18" s="585"/>
      <c r="H18" s="585"/>
      <c r="I18" s="586">
        <f>SUM(B18:H18)</f>
        <v>18346000.350000001</v>
      </c>
      <c r="J18" s="587">
        <v>592613.59</v>
      </c>
      <c r="K18" s="587">
        <v>1724621.59</v>
      </c>
      <c r="L18" s="587">
        <v>389849.63</v>
      </c>
      <c r="M18" s="587">
        <v>672000</v>
      </c>
      <c r="N18" s="587">
        <f t="shared" si="2"/>
        <v>3379084.81</v>
      </c>
      <c r="O18" s="587">
        <f t="shared" si="0"/>
        <v>21725085.16</v>
      </c>
      <c r="Q18" s="589"/>
    </row>
    <row r="19" spans="1:17" s="138" customFormat="1" ht="21" customHeight="1">
      <c r="A19" s="140" t="s">
        <v>63</v>
      </c>
      <c r="B19" s="141">
        <v>9221450.2700000014</v>
      </c>
      <c r="C19" s="141">
        <v>1006982</v>
      </c>
      <c r="D19" s="141">
        <v>6082684.8999999985</v>
      </c>
      <c r="E19" s="141">
        <v>3686504.08</v>
      </c>
      <c r="F19" s="141">
        <v>29846.369999999992</v>
      </c>
      <c r="G19" s="141">
        <v>1293242.96</v>
      </c>
      <c r="H19" s="141"/>
      <c r="I19" s="142">
        <f>SUM(B19:H19)</f>
        <v>21320710.580000002</v>
      </c>
      <c r="J19" s="143">
        <v>499723.77</v>
      </c>
      <c r="K19" s="143">
        <v>1247459.98</v>
      </c>
      <c r="L19" s="143">
        <v>235945.24</v>
      </c>
      <c r="M19" s="143">
        <v>800000</v>
      </c>
      <c r="N19" s="139">
        <f t="shared" si="2"/>
        <v>2783128.99</v>
      </c>
      <c r="O19" s="143">
        <f t="shared" si="0"/>
        <v>24103839.57</v>
      </c>
      <c r="Q19" s="580"/>
    </row>
    <row r="20" spans="1:17" s="588" customFormat="1" ht="21" customHeight="1">
      <c r="A20" s="590" t="s">
        <v>52</v>
      </c>
      <c r="B20" s="583">
        <v>0</v>
      </c>
      <c r="C20" s="583">
        <v>0</v>
      </c>
      <c r="D20" s="583">
        <v>0</v>
      </c>
      <c r="E20" s="583">
        <v>9053187.0800000001</v>
      </c>
      <c r="F20" s="583">
        <v>15235041.4</v>
      </c>
      <c r="G20" s="583"/>
      <c r="H20" s="583"/>
      <c r="I20" s="591">
        <f>SUM(B20:H20)</f>
        <v>24288228.48</v>
      </c>
      <c r="J20" s="592">
        <v>0</v>
      </c>
      <c r="K20" s="592">
        <v>0</v>
      </c>
      <c r="L20" s="592"/>
      <c r="M20" s="592"/>
      <c r="N20" s="587">
        <v>0</v>
      </c>
      <c r="O20" s="592">
        <f t="shared" si="0"/>
        <v>24288228.48</v>
      </c>
      <c r="Q20" s="589"/>
    </row>
    <row r="21" spans="1:17" s="138" customFormat="1" ht="21" customHeight="1">
      <c r="A21" s="140" t="s">
        <v>59</v>
      </c>
      <c r="B21" s="141">
        <v>899861.38</v>
      </c>
      <c r="C21" s="141">
        <v>15000</v>
      </c>
      <c r="D21" s="141">
        <v>345</v>
      </c>
      <c r="E21" s="141">
        <v>205503.88999999998</v>
      </c>
      <c r="F21" s="141">
        <v>11969.57</v>
      </c>
      <c r="G21" s="141"/>
      <c r="H21" s="141"/>
      <c r="I21" s="142">
        <f t="shared" si="1"/>
        <v>1132679.8400000001</v>
      </c>
      <c r="J21" s="143">
        <v>58791.02</v>
      </c>
      <c r="K21" s="143">
        <v>162204.78</v>
      </c>
      <c r="L21" s="143">
        <v>42061.19000000001</v>
      </c>
      <c r="M21" s="143"/>
      <c r="N21" s="139">
        <f t="shared" si="2"/>
        <v>263056.99</v>
      </c>
      <c r="O21" s="143">
        <f t="shared" si="0"/>
        <v>1395736.83</v>
      </c>
      <c r="Q21" s="580"/>
    </row>
    <row r="22" spans="1:17" s="138" customFormat="1" ht="21" customHeight="1">
      <c r="A22" s="140" t="s">
        <v>60</v>
      </c>
      <c r="B22" s="141">
        <v>971431.34000000008</v>
      </c>
      <c r="C22" s="141">
        <v>216465</v>
      </c>
      <c r="D22" s="141">
        <v>724</v>
      </c>
      <c r="E22" s="141">
        <v>487543.76</v>
      </c>
      <c r="F22" s="141">
        <v>12510.56</v>
      </c>
      <c r="G22" s="141"/>
      <c r="H22" s="141"/>
      <c r="I22" s="142">
        <f t="shared" si="1"/>
        <v>1688674.6600000001</v>
      </c>
      <c r="J22" s="143">
        <v>58791.02</v>
      </c>
      <c r="K22" s="143">
        <v>335035.51999999996</v>
      </c>
      <c r="L22" s="143">
        <v>67523.350000000006</v>
      </c>
      <c r="M22" s="143"/>
      <c r="N22" s="139">
        <f t="shared" si="2"/>
        <v>461349.89</v>
      </c>
      <c r="O22" s="143">
        <f t="shared" si="0"/>
        <v>2150024.5500000003</v>
      </c>
    </row>
    <row r="23" spans="1:17" s="138" customFormat="1" ht="21" customHeight="1">
      <c r="A23" s="140" t="s">
        <v>61</v>
      </c>
      <c r="B23" s="583">
        <v>11503732.01</v>
      </c>
      <c r="C23" s="583"/>
      <c r="D23" s="583">
        <v>222673</v>
      </c>
      <c r="E23" s="583">
        <v>2054150.5</v>
      </c>
      <c r="F23" s="583">
        <v>124478.98999999998</v>
      </c>
      <c r="G23" s="583"/>
      <c r="H23" s="583"/>
      <c r="I23" s="142">
        <f t="shared" si="1"/>
        <v>13905034.5</v>
      </c>
      <c r="J23" s="143">
        <v>382141.69999999995</v>
      </c>
      <c r="K23" s="143">
        <v>1218679.8399999999</v>
      </c>
      <c r="L23" s="143">
        <v>309419.68999999994</v>
      </c>
      <c r="M23" s="143">
        <v>500000</v>
      </c>
      <c r="N23" s="139">
        <f t="shared" si="2"/>
        <v>2410241.2299999995</v>
      </c>
      <c r="O23" s="143">
        <f t="shared" si="0"/>
        <v>16315275.73</v>
      </c>
    </row>
    <row r="24" spans="1:17" s="138" customFormat="1" ht="21" customHeight="1">
      <c r="A24" s="144" t="s">
        <v>62</v>
      </c>
      <c r="B24" s="145">
        <v>13123962.719999999</v>
      </c>
      <c r="C24" s="145">
        <v>542715</v>
      </c>
      <c r="D24" s="145"/>
      <c r="E24" s="616">
        <v>11956815.76</v>
      </c>
      <c r="F24" s="145">
        <v>1162024.7100000011</v>
      </c>
      <c r="G24" s="145"/>
      <c r="H24" s="145"/>
      <c r="I24" s="146">
        <f t="shared" si="1"/>
        <v>26785518.189999998</v>
      </c>
      <c r="J24" s="147">
        <v>940656.5</v>
      </c>
      <c r="K24" s="147">
        <v>2648625.61</v>
      </c>
      <c r="L24" s="147">
        <v>500614.11</v>
      </c>
      <c r="M24" s="147">
        <v>800000</v>
      </c>
      <c r="N24" s="139">
        <f t="shared" si="2"/>
        <v>4889896.22</v>
      </c>
      <c r="O24" s="147">
        <f t="shared" si="0"/>
        <v>31675414.409999996</v>
      </c>
    </row>
    <row r="25" spans="1:17" s="138" customFormat="1" ht="21" customHeight="1">
      <c r="A25" s="149" t="s">
        <v>19</v>
      </c>
      <c r="B25" s="150">
        <f>SUM(B6:B24)</f>
        <v>185978415.35000002</v>
      </c>
      <c r="C25" s="150">
        <f t="shared" ref="C25:F25" si="3">SUM(C6:C24)</f>
        <v>10121819.57</v>
      </c>
      <c r="D25" s="150">
        <f t="shared" si="3"/>
        <v>18133913.100000001</v>
      </c>
      <c r="E25" s="150">
        <f t="shared" si="3"/>
        <v>88717927.38000001</v>
      </c>
      <c r="F25" s="150">
        <f t="shared" si="3"/>
        <v>31384482.589999996</v>
      </c>
      <c r="G25" s="150"/>
      <c r="H25" s="150">
        <f t="shared" ref="H25" si="4">SUM(H6:H24)</f>
        <v>200000</v>
      </c>
      <c r="I25" s="151">
        <f>SUM(I6:I24)</f>
        <v>335829800.94999999</v>
      </c>
      <c r="J25" s="150">
        <f t="shared" ref="J25:M25" si="5">SUM(J6:J24)</f>
        <v>10648631.099999998</v>
      </c>
      <c r="K25" s="150">
        <f t="shared" si="5"/>
        <v>34576025.979999997</v>
      </c>
      <c r="L25" s="150">
        <f t="shared" si="5"/>
        <v>5625829.080000001</v>
      </c>
      <c r="M25" s="150">
        <f t="shared" si="5"/>
        <v>20000000</v>
      </c>
      <c r="N25" s="152">
        <f>SUM(N6:N24)</f>
        <v>70850486.160000011</v>
      </c>
      <c r="O25" s="152">
        <f>+I25+N25</f>
        <v>406680287.11000001</v>
      </c>
    </row>
    <row r="26" spans="1:17" ht="18" customHeight="1">
      <c r="B26" s="128"/>
      <c r="C26" s="128"/>
      <c r="D26" s="128"/>
      <c r="E26" s="128"/>
      <c r="F26" s="128"/>
      <c r="G26" s="128"/>
      <c r="H26" s="128"/>
      <c r="O26" s="131">
        <f>348066875.55-O25</f>
        <v>-58613411.560000002</v>
      </c>
    </row>
    <row r="27" spans="1:17" ht="18" customHeight="1">
      <c r="B27" s="128"/>
      <c r="C27" s="128"/>
      <c r="D27" s="128"/>
      <c r="E27" s="128"/>
      <c r="F27" s="128"/>
      <c r="G27" s="128"/>
      <c r="H27" s="128"/>
      <c r="O27" s="482">
        <f>+O25-ตารางที่1!G33</f>
        <v>0</v>
      </c>
    </row>
    <row r="28" spans="1:17" ht="24">
      <c r="A28" s="4" t="s">
        <v>191</v>
      </c>
      <c r="I28" s="603"/>
      <c r="K28" s="197"/>
    </row>
    <row r="29" spans="1:17" s="105" customFormat="1">
      <c r="A29" s="788" t="s">
        <v>44</v>
      </c>
      <c r="B29" s="794" t="s">
        <v>37</v>
      </c>
      <c r="C29" s="795"/>
      <c r="D29" s="795"/>
      <c r="E29" s="795"/>
      <c r="F29" s="795"/>
      <c r="G29" s="795"/>
      <c r="H29" s="795"/>
      <c r="I29" s="796"/>
      <c r="J29" s="794" t="s">
        <v>57</v>
      </c>
      <c r="K29" s="795"/>
      <c r="L29" s="795"/>
      <c r="M29" s="795"/>
      <c r="N29" s="796"/>
      <c r="O29" s="788" t="s">
        <v>2</v>
      </c>
    </row>
    <row r="30" spans="1:17" s="105" customFormat="1" ht="21" customHeight="1">
      <c r="A30" s="790"/>
      <c r="B30" s="133">
        <v>5101</v>
      </c>
      <c r="C30" s="133">
        <v>5102</v>
      </c>
      <c r="D30" s="133">
        <v>5103</v>
      </c>
      <c r="E30" s="133">
        <v>5104</v>
      </c>
      <c r="F30" s="133">
        <v>5105</v>
      </c>
      <c r="G30" s="504"/>
      <c r="H30" s="133">
        <v>5107</v>
      </c>
      <c r="I30" s="16" t="s">
        <v>2</v>
      </c>
      <c r="J30" s="133">
        <v>5101</v>
      </c>
      <c r="K30" s="133">
        <v>5104</v>
      </c>
      <c r="L30" s="133">
        <v>5105</v>
      </c>
      <c r="M30" s="133">
        <v>5106</v>
      </c>
      <c r="N30" s="133" t="s">
        <v>2</v>
      </c>
      <c r="O30" s="790"/>
    </row>
    <row r="31" spans="1:17" s="130" customFormat="1" ht="19.5" customHeight="1">
      <c r="A31" s="610" t="s">
        <v>51</v>
      </c>
      <c r="B31" s="609">
        <f>SUM(B32:B33)</f>
        <v>10368317.619999999</v>
      </c>
      <c r="C31" s="609">
        <f>SUM(C32:C33)</f>
        <v>6636406.0499999998</v>
      </c>
      <c r="D31" s="609">
        <f t="shared" ref="D31:F31" si="6">SUM(D32:D33)</f>
        <v>15662</v>
      </c>
      <c r="E31" s="609">
        <f t="shared" si="6"/>
        <v>4459193.1399999997</v>
      </c>
      <c r="F31" s="609">
        <f t="shared" si="6"/>
        <v>183243.14</v>
      </c>
      <c r="G31" s="609"/>
      <c r="H31" s="609"/>
      <c r="I31" s="609">
        <f>SUM(I32:I33)</f>
        <v>21662821.950000003</v>
      </c>
      <c r="J31" s="609">
        <f>SUM(J32:J33)</f>
        <v>705492.37</v>
      </c>
      <c r="K31" s="609">
        <f t="shared" ref="K31" si="7">SUM(K32:K33)</f>
        <v>2053120.9300000002</v>
      </c>
      <c r="L31" s="609">
        <f t="shared" ref="L31" si="8">SUM(L32:L33)</f>
        <v>464106.69</v>
      </c>
      <c r="M31" s="609">
        <f t="shared" ref="M31" si="9">SUM(M32:M33)</f>
        <v>800000</v>
      </c>
      <c r="N31" s="609">
        <f t="shared" ref="N31" si="10">SUM(N32:N33)</f>
        <v>4022719.99</v>
      </c>
      <c r="O31" s="609">
        <f>SUM(O32:O33)</f>
        <v>25685541.940000001</v>
      </c>
    </row>
    <row r="32" spans="1:17">
      <c r="A32" s="140" t="s">
        <v>45</v>
      </c>
      <c r="B32" s="141">
        <v>1687366.78</v>
      </c>
      <c r="C32" s="141">
        <v>0</v>
      </c>
      <c r="D32" s="141">
        <v>0</v>
      </c>
      <c r="E32" s="141">
        <v>1600135.91</v>
      </c>
      <c r="F32" s="141">
        <v>29318.91</v>
      </c>
      <c r="G32" s="141"/>
      <c r="H32" s="141"/>
      <c r="I32" s="142">
        <f>SUM(B32:H32)</f>
        <v>3316821.6</v>
      </c>
      <c r="J32" s="143">
        <v>112878.78</v>
      </c>
      <c r="K32" s="602">
        <v>328499.34000000003</v>
      </c>
      <c r="L32" s="602">
        <v>74257.06</v>
      </c>
      <c r="M32" s="143">
        <v>128000</v>
      </c>
      <c r="N32" s="143">
        <f>SUM(J32:M32)</f>
        <v>643635.17999999993</v>
      </c>
      <c r="O32" s="143">
        <f>SUM(I32+N32)</f>
        <v>3960456.7800000003</v>
      </c>
    </row>
    <row r="33" spans="1:15">
      <c r="A33" s="144" t="s">
        <v>58</v>
      </c>
      <c r="B33" s="145">
        <v>8680950.8399999999</v>
      </c>
      <c r="C33" s="145">
        <v>6636406.0499999998</v>
      </c>
      <c r="D33" s="604">
        <v>15662</v>
      </c>
      <c r="E33" s="145">
        <v>2859057.23</v>
      </c>
      <c r="F33" s="145">
        <v>153924.23000000001</v>
      </c>
      <c r="G33" s="145"/>
      <c r="H33" s="145"/>
      <c r="I33" s="146">
        <f>SUM(B33:H33)</f>
        <v>18346000.350000001</v>
      </c>
      <c r="J33" s="147">
        <v>592613.59</v>
      </c>
      <c r="K33" s="645">
        <v>1724621.59</v>
      </c>
      <c r="L33" s="645">
        <v>389849.63</v>
      </c>
      <c r="M33" s="147">
        <v>672000</v>
      </c>
      <c r="N33" s="147">
        <f t="shared" ref="N33" si="11">SUM(J33:M33)</f>
        <v>3379084.81</v>
      </c>
      <c r="O33" s="147">
        <f>SUM(I33+N33)</f>
        <v>21725085.16</v>
      </c>
    </row>
    <row r="34" spans="1:15">
      <c r="I34" s="129"/>
    </row>
    <row r="35" spans="1:15" s="105" customFormat="1">
      <c r="A35" s="788" t="s">
        <v>44</v>
      </c>
      <c r="B35" s="794" t="s">
        <v>37</v>
      </c>
      <c r="C35" s="795"/>
      <c r="D35" s="795"/>
      <c r="E35" s="795"/>
      <c r="F35" s="795"/>
      <c r="G35" s="795"/>
      <c r="H35" s="795"/>
      <c r="I35" s="796"/>
      <c r="J35" s="794" t="s">
        <v>57</v>
      </c>
      <c r="K35" s="795"/>
      <c r="L35" s="795"/>
      <c r="M35" s="795"/>
      <c r="N35" s="796"/>
      <c r="O35" s="788" t="s">
        <v>2</v>
      </c>
    </row>
    <row r="36" spans="1:15" s="105" customFormat="1" ht="21" customHeight="1">
      <c r="A36" s="789"/>
      <c r="B36" s="155">
        <v>5101</v>
      </c>
      <c r="C36" s="155">
        <v>5102</v>
      </c>
      <c r="D36" s="155">
        <v>5103</v>
      </c>
      <c r="E36" s="155">
        <v>5104</v>
      </c>
      <c r="F36" s="155">
        <v>5105</v>
      </c>
      <c r="G36" s="503"/>
      <c r="H36" s="155"/>
      <c r="I36" s="16" t="s">
        <v>2</v>
      </c>
      <c r="J36" s="155">
        <v>5101</v>
      </c>
      <c r="K36" s="155">
        <v>5104</v>
      </c>
      <c r="L36" s="155">
        <v>5105</v>
      </c>
      <c r="M36" s="155">
        <v>5106</v>
      </c>
      <c r="N36" s="155" t="s">
        <v>2</v>
      </c>
      <c r="O36" s="789"/>
    </row>
    <row r="37" spans="1:15" s="611" customFormat="1" ht="19.5">
      <c r="A37" s="610" t="s">
        <v>52</v>
      </c>
      <c r="B37" s="614">
        <f>SUM(B38:B39)</f>
        <v>8549824.1799999997</v>
      </c>
      <c r="C37" s="614">
        <f t="shared" ref="C37:G37" si="12">SUM(C38:C39)</f>
        <v>960156.52</v>
      </c>
      <c r="D37" s="614">
        <f t="shared" si="12"/>
        <v>5000</v>
      </c>
      <c r="E37" s="614">
        <f>SUM(E38:E39)</f>
        <v>19514928.649999999</v>
      </c>
      <c r="F37" s="614">
        <f>SUM(F38:F39)</f>
        <v>24679757.939999998</v>
      </c>
      <c r="G37" s="614">
        <f t="shared" si="12"/>
        <v>0</v>
      </c>
      <c r="H37" s="614"/>
      <c r="I37" s="614">
        <f>SUM(B37:F37)</f>
        <v>53709667.289999992</v>
      </c>
      <c r="J37" s="614">
        <f>SUM(J38:J39)</f>
        <v>448387.24</v>
      </c>
      <c r="K37" s="609">
        <f t="shared" ref="K37:M37" si="13">SUM(K38:K39)</f>
        <v>1611600.24</v>
      </c>
      <c r="L37" s="609">
        <f t="shared" si="13"/>
        <v>455500.81</v>
      </c>
      <c r="M37" s="609">
        <f t="shared" si="13"/>
        <v>250000</v>
      </c>
      <c r="N37" s="609">
        <f>SUM(J37:M37)</f>
        <v>2765488.29</v>
      </c>
      <c r="O37" s="609">
        <f>SUM(I37+N37)</f>
        <v>56475155.579999991</v>
      </c>
    </row>
    <row r="38" spans="1:15">
      <c r="A38" s="140" t="s">
        <v>45</v>
      </c>
      <c r="B38" s="615">
        <v>8549824.1799999997</v>
      </c>
      <c r="C38" s="583">
        <v>960156.52</v>
      </c>
      <c r="D38" s="583">
        <v>5000</v>
      </c>
      <c r="E38" s="583">
        <v>10461741.57</v>
      </c>
      <c r="F38" s="583">
        <v>9444716.5399999991</v>
      </c>
      <c r="G38" s="583"/>
      <c r="H38" s="583"/>
      <c r="I38" s="591">
        <f>SUM(B38:H38)</f>
        <v>29421438.809999999</v>
      </c>
      <c r="J38" s="592">
        <v>448387.24</v>
      </c>
      <c r="K38" s="592">
        <v>1611600.24</v>
      </c>
      <c r="L38" s="592">
        <v>455500.81</v>
      </c>
      <c r="M38" s="143">
        <v>250000</v>
      </c>
      <c r="N38" s="143">
        <f>SUM(J38:M38)</f>
        <v>2765488.29</v>
      </c>
      <c r="O38" s="143"/>
    </row>
    <row r="39" spans="1:15">
      <c r="A39" s="144" t="s">
        <v>58</v>
      </c>
      <c r="B39" s="616">
        <v>0</v>
      </c>
      <c r="C39" s="616">
        <v>0</v>
      </c>
      <c r="D39" s="616">
        <v>0</v>
      </c>
      <c r="E39" s="616">
        <v>9053187.0800000001</v>
      </c>
      <c r="F39" s="616">
        <v>15235041.4</v>
      </c>
      <c r="G39" s="616"/>
      <c r="H39" s="616"/>
      <c r="I39" s="617">
        <f>SUM(B39:H39)</f>
        <v>24288228.48</v>
      </c>
      <c r="J39" s="618">
        <v>0</v>
      </c>
      <c r="K39" s="147">
        <v>0</v>
      </c>
      <c r="L39" s="147"/>
      <c r="M39" s="147"/>
      <c r="N39" s="147">
        <f t="shared" ref="N39" si="14">SUM(J39:M39)</f>
        <v>0</v>
      </c>
      <c r="O39" s="147"/>
    </row>
    <row r="41" spans="1:15">
      <c r="N41" s="612"/>
    </row>
    <row r="42" spans="1:15">
      <c r="N42" s="613"/>
    </row>
  </sheetData>
  <mergeCells count="14">
    <mergeCell ref="O29:O30"/>
    <mergeCell ref="B29:I29"/>
    <mergeCell ref="A35:A36"/>
    <mergeCell ref="B35:I35"/>
    <mergeCell ref="J35:N35"/>
    <mergeCell ref="O35:O36"/>
    <mergeCell ref="A29:A30"/>
    <mergeCell ref="J29:N29"/>
    <mergeCell ref="O2:O4"/>
    <mergeCell ref="A2:A4"/>
    <mergeCell ref="I2:I4"/>
    <mergeCell ref="B2:H2"/>
    <mergeCell ref="N3:N4"/>
    <mergeCell ref="J2:N2"/>
  </mergeCells>
  <pageMargins left="0.70866141732283472" right="0.35433070866141736" top="0.55118110236220474" bottom="0.35433070866141736" header="0.31496062992125984" footer="0.31496062992125984"/>
  <pageSetup paperSize="9" scale="7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0"/>
  <sheetViews>
    <sheetView topLeftCell="A7" zoomScaleNormal="100" zoomScaleSheetLayoutView="110" workbookViewId="0">
      <selection activeCell="H18" sqref="H18"/>
    </sheetView>
  </sheetViews>
  <sheetFormatPr defaultRowHeight="24"/>
  <cols>
    <col min="1" max="1" width="2.125" style="518" customWidth="1"/>
    <col min="2" max="2" width="32.625" style="518" customWidth="1"/>
    <col min="3" max="3" width="16.75" style="518" customWidth="1"/>
    <col min="4" max="4" width="11.375" style="518" customWidth="1"/>
    <col min="5" max="5" width="10.125" style="518" customWidth="1"/>
    <col min="6" max="7" width="10.625" style="518" customWidth="1"/>
    <col min="8" max="8" width="14.375" style="518" bestFit="1" customWidth="1"/>
    <col min="9" max="9" width="6" style="519" customWidth="1"/>
    <col min="10" max="10" width="10.5" style="519" customWidth="1"/>
    <col min="11" max="11" width="9.625" style="518" customWidth="1"/>
    <col min="12" max="16384" width="9" style="518"/>
  </cols>
  <sheetData>
    <row r="1" spans="1:11">
      <c r="A1" s="518" t="s">
        <v>64</v>
      </c>
      <c r="K1" s="520" t="s">
        <v>10</v>
      </c>
    </row>
    <row r="2" spans="1:11" s="524" customFormat="1" ht="21.75">
      <c r="A2" s="797" t="s">
        <v>85</v>
      </c>
      <c r="B2" s="797"/>
      <c r="C2" s="521" t="s">
        <v>86</v>
      </c>
      <c r="D2" s="522" t="s">
        <v>197</v>
      </c>
      <c r="E2" s="522" t="s">
        <v>139</v>
      </c>
      <c r="F2" s="522" t="s">
        <v>1</v>
      </c>
      <c r="G2" s="522" t="s">
        <v>84</v>
      </c>
      <c r="H2" s="521" t="s">
        <v>87</v>
      </c>
      <c r="I2" s="523" t="s">
        <v>88</v>
      </c>
      <c r="J2" s="521" t="s">
        <v>89</v>
      </c>
      <c r="K2" s="523" t="s">
        <v>90</v>
      </c>
    </row>
    <row r="3" spans="1:11" s="528" customFormat="1" ht="19.5">
      <c r="A3" s="525" t="s">
        <v>81</v>
      </c>
      <c r="B3" s="525"/>
      <c r="C3" s="525"/>
      <c r="D3" s="525"/>
      <c r="E3" s="525"/>
      <c r="F3" s="525"/>
      <c r="G3" s="525"/>
      <c r="H3" s="525"/>
      <c r="I3" s="526"/>
      <c r="J3" s="526"/>
      <c r="K3" s="527"/>
    </row>
    <row r="4" spans="1:11" s="534" customFormat="1" ht="23.25" customHeight="1">
      <c r="A4" s="168">
        <v>1</v>
      </c>
      <c r="B4" s="169" t="s">
        <v>228</v>
      </c>
      <c r="C4" s="529" t="s">
        <v>46</v>
      </c>
      <c r="D4" s="530">
        <v>5118837.9870000053</v>
      </c>
      <c r="E4" s="530">
        <v>227612.61600000001</v>
      </c>
      <c r="F4" s="530">
        <v>1910225.6579999998</v>
      </c>
      <c r="G4" s="530">
        <v>506198.08799999999</v>
      </c>
      <c r="H4" s="530">
        <f>SUM(D4:G4)</f>
        <v>7762874.3490000051</v>
      </c>
      <c r="I4" s="531">
        <v>12</v>
      </c>
      <c r="J4" s="532" t="s">
        <v>91</v>
      </c>
      <c r="K4" s="533">
        <f>+H4/I4</f>
        <v>646906.19575000042</v>
      </c>
    </row>
    <row r="5" spans="1:11" s="534" customFormat="1" ht="23.25" customHeight="1">
      <c r="A5" s="170">
        <v>2</v>
      </c>
      <c r="B5" s="171" t="s">
        <v>229</v>
      </c>
      <c r="C5" s="535" t="s">
        <v>46</v>
      </c>
      <c r="D5" s="536">
        <v>6825117.3160000071</v>
      </c>
      <c r="E5" s="536">
        <v>303483.48800000007</v>
      </c>
      <c r="F5" s="536">
        <v>2546967.5439999998</v>
      </c>
      <c r="G5" s="536">
        <v>674930.7840000001</v>
      </c>
      <c r="H5" s="536">
        <f t="shared" ref="H5:H27" si="0">SUM(D5:G5)</f>
        <v>10350499.132000007</v>
      </c>
      <c r="I5" s="641">
        <v>8699</v>
      </c>
      <c r="J5" s="538" t="s">
        <v>92</v>
      </c>
      <c r="K5" s="539">
        <f>+H5/I5</f>
        <v>1189.8493081963452</v>
      </c>
    </row>
    <row r="6" spans="1:11" s="534" customFormat="1" ht="23.25" customHeight="1">
      <c r="A6" s="170">
        <v>3</v>
      </c>
      <c r="B6" s="172" t="s">
        <v>230</v>
      </c>
      <c r="C6" s="535" t="s">
        <v>46</v>
      </c>
      <c r="D6" s="536">
        <v>5118837.9870000053</v>
      </c>
      <c r="E6" s="536">
        <v>227612.61600000001</v>
      </c>
      <c r="F6" s="536">
        <v>1910225.6579999998</v>
      </c>
      <c r="G6" s="536">
        <v>506198.08799999999</v>
      </c>
      <c r="H6" s="536">
        <f t="shared" ref="H6:H11" si="1">SUM(D6:G6)</f>
        <v>7762874.3490000051</v>
      </c>
      <c r="I6" s="537">
        <v>19</v>
      </c>
      <c r="J6" s="538" t="s">
        <v>91</v>
      </c>
      <c r="K6" s="539">
        <f t="shared" ref="K6:K26" si="2">+H6/I6</f>
        <v>408572.33415789501</v>
      </c>
    </row>
    <row r="7" spans="1:11" s="534" customFormat="1" ht="19.5">
      <c r="A7" s="170">
        <v>4</v>
      </c>
      <c r="B7" s="173" t="s">
        <v>231</v>
      </c>
      <c r="C7" s="535" t="s">
        <v>82</v>
      </c>
      <c r="D7" s="536">
        <v>80033667.489999995</v>
      </c>
      <c r="E7" s="536">
        <v>1748565.53</v>
      </c>
      <c r="F7" s="536">
        <v>26767451.940000001</v>
      </c>
      <c r="G7" s="536">
        <v>2250568.0599999996</v>
      </c>
      <c r="H7" s="536">
        <f t="shared" si="1"/>
        <v>110800253.02</v>
      </c>
      <c r="I7" s="537">
        <v>706</v>
      </c>
      <c r="J7" s="538" t="s">
        <v>93</v>
      </c>
      <c r="K7" s="539">
        <f t="shared" si="2"/>
        <v>156940.86830028327</v>
      </c>
    </row>
    <row r="8" spans="1:11" s="534" customFormat="1" ht="42" customHeight="1">
      <c r="A8" s="170">
        <v>5</v>
      </c>
      <c r="B8" s="173" t="s">
        <v>232</v>
      </c>
      <c r="C8" s="535" t="s">
        <v>51</v>
      </c>
      <c r="D8" s="536">
        <v>3181631.8999999994</v>
      </c>
      <c r="E8" s="536">
        <v>90602.4</v>
      </c>
      <c r="F8" s="536">
        <v>584646.51</v>
      </c>
      <c r="G8" s="536">
        <v>103575.97</v>
      </c>
      <c r="H8" s="536">
        <f t="shared" si="1"/>
        <v>3960456.78</v>
      </c>
      <c r="I8" s="537">
        <v>7</v>
      </c>
      <c r="J8" s="540" t="s">
        <v>94</v>
      </c>
      <c r="K8" s="539">
        <f t="shared" si="2"/>
        <v>565779.53999999992</v>
      </c>
    </row>
    <row r="9" spans="1:11" s="534" customFormat="1" ht="39">
      <c r="A9" s="170">
        <v>6</v>
      </c>
      <c r="B9" s="174" t="s">
        <v>68</v>
      </c>
      <c r="C9" s="535" t="s">
        <v>56</v>
      </c>
      <c r="D9" s="536">
        <v>9399950.2699999996</v>
      </c>
      <c r="E9" s="536">
        <v>337964.65</v>
      </c>
      <c r="F9" s="536">
        <v>1198432.5900000001</v>
      </c>
      <c r="G9" s="536">
        <v>118472.43000000001</v>
      </c>
      <c r="H9" s="536">
        <f t="shared" si="1"/>
        <v>11054819.939999999</v>
      </c>
      <c r="I9" s="537">
        <v>77</v>
      </c>
      <c r="J9" s="538" t="s">
        <v>118</v>
      </c>
      <c r="K9" s="539">
        <f t="shared" si="2"/>
        <v>143569.09012987014</v>
      </c>
    </row>
    <row r="10" spans="1:11" s="534" customFormat="1" ht="39">
      <c r="A10" s="170">
        <v>7</v>
      </c>
      <c r="B10" s="174" t="s">
        <v>69</v>
      </c>
      <c r="C10" s="535" t="s">
        <v>53</v>
      </c>
      <c r="D10" s="536">
        <v>17052809.550000004</v>
      </c>
      <c r="E10" s="536">
        <v>585183.97</v>
      </c>
      <c r="F10" s="536">
        <v>5786910.2100000009</v>
      </c>
      <c r="G10" s="536">
        <v>723414.69999999984</v>
      </c>
      <c r="H10" s="536">
        <f t="shared" si="1"/>
        <v>24148318.430000003</v>
      </c>
      <c r="I10" s="537">
        <v>17</v>
      </c>
      <c r="J10" s="538" t="s">
        <v>124</v>
      </c>
      <c r="K10" s="539">
        <f t="shared" si="2"/>
        <v>1420489.3194117649</v>
      </c>
    </row>
    <row r="11" spans="1:11" s="534" customFormat="1" ht="88.5" customHeight="1">
      <c r="A11" s="170">
        <v>8</v>
      </c>
      <c r="B11" s="173" t="s">
        <v>233</v>
      </c>
      <c r="C11" s="535" t="s">
        <v>55</v>
      </c>
      <c r="D11" s="530">
        <v>31684893.499999996</v>
      </c>
      <c r="E11" s="530">
        <v>576085.01</v>
      </c>
      <c r="F11" s="530">
        <v>8423006.6899999995</v>
      </c>
      <c r="G11" s="530">
        <v>3405688.85</v>
      </c>
      <c r="H11" s="530">
        <f t="shared" si="1"/>
        <v>44089674.049999997</v>
      </c>
      <c r="I11" s="531">
        <v>552</v>
      </c>
      <c r="J11" s="532" t="s">
        <v>118</v>
      </c>
      <c r="K11" s="533">
        <f t="shared" ref="K11" si="3">+H11/I11</f>
        <v>79872.597916666666</v>
      </c>
    </row>
    <row r="12" spans="1:11" s="534" customFormat="1" ht="99" customHeight="1">
      <c r="A12" s="168">
        <v>9</v>
      </c>
      <c r="B12" s="297" t="s">
        <v>234</v>
      </c>
      <c r="C12" s="535" t="s">
        <v>54</v>
      </c>
      <c r="D12" s="536">
        <v>24127551.729999959</v>
      </c>
      <c r="E12" s="536">
        <v>773099.27999999991</v>
      </c>
      <c r="F12" s="536">
        <v>7463495.9100000001</v>
      </c>
      <c r="G12" s="536">
        <v>545838.30999999994</v>
      </c>
      <c r="H12" s="536">
        <f t="shared" si="0"/>
        <v>32909985.229999959</v>
      </c>
      <c r="I12" s="537">
        <v>644</v>
      </c>
      <c r="J12" s="538" t="s">
        <v>124</v>
      </c>
      <c r="K12" s="539">
        <f t="shared" ref="K12" si="4">+H12/I12</f>
        <v>51102.461537267016</v>
      </c>
    </row>
    <row r="13" spans="1:11" s="534" customFormat="1" ht="39">
      <c r="A13" s="170">
        <v>10</v>
      </c>
      <c r="B13" s="173" t="s">
        <v>71</v>
      </c>
      <c r="C13" s="535" t="s">
        <v>52</v>
      </c>
      <c r="D13" s="536">
        <v>18374459.649999999</v>
      </c>
      <c r="E13" s="536">
        <v>1096697.4099999999</v>
      </c>
      <c r="F13" s="536">
        <v>2815552.69</v>
      </c>
      <c r="G13" s="536">
        <v>12037253.810000001</v>
      </c>
      <c r="H13" s="536">
        <f>SUM(D13:G13)</f>
        <v>34323963.560000002</v>
      </c>
      <c r="I13" s="537">
        <v>3</v>
      </c>
      <c r="J13" s="538" t="s">
        <v>97</v>
      </c>
      <c r="K13" s="539">
        <f t="shared" si="2"/>
        <v>11441321.186666667</v>
      </c>
    </row>
    <row r="14" spans="1:11" s="528" customFormat="1" ht="24.75" customHeight="1">
      <c r="A14" s="759" t="s">
        <v>83</v>
      </c>
      <c r="B14" s="760"/>
      <c r="C14" s="761"/>
      <c r="D14" s="762"/>
      <c r="E14" s="762"/>
      <c r="F14" s="762"/>
      <c r="G14" s="762"/>
      <c r="H14" s="762">
        <f t="shared" si="0"/>
        <v>0</v>
      </c>
      <c r="I14" s="763"/>
      <c r="J14" s="764"/>
      <c r="K14" s="765"/>
    </row>
    <row r="15" spans="1:11" s="534" customFormat="1" ht="24.75" customHeight="1">
      <c r="A15" s="767">
        <v>11</v>
      </c>
      <c r="B15" s="768" t="s">
        <v>66</v>
      </c>
      <c r="C15" s="769" t="s">
        <v>51</v>
      </c>
      <c r="D15" s="770">
        <v>7897275</v>
      </c>
      <c r="E15" s="770">
        <v>328433.68</v>
      </c>
      <c r="F15" s="770">
        <v>1996613.75</v>
      </c>
      <c r="G15" s="770">
        <v>375462.9</v>
      </c>
      <c r="H15" s="770">
        <f t="shared" si="0"/>
        <v>10597785.33</v>
      </c>
      <c r="I15" s="771">
        <v>1</v>
      </c>
      <c r="J15" s="772" t="s">
        <v>95</v>
      </c>
      <c r="K15" s="773">
        <f t="shared" si="2"/>
        <v>10597785.33</v>
      </c>
    </row>
    <row r="16" spans="1:11" s="534" customFormat="1" ht="39">
      <c r="A16" s="168">
        <v>12</v>
      </c>
      <c r="B16" s="176" t="s">
        <v>67</v>
      </c>
      <c r="C16" s="529" t="s">
        <v>51</v>
      </c>
      <c r="D16" s="530">
        <v>8183514.7599999998</v>
      </c>
      <c r="E16" s="530">
        <v>1588641.03</v>
      </c>
      <c r="F16" s="530">
        <v>1186833.08</v>
      </c>
      <c r="G16" s="530">
        <v>168310.96</v>
      </c>
      <c r="H16" s="530">
        <f t="shared" si="0"/>
        <v>11127299.83</v>
      </c>
      <c r="I16" s="766">
        <v>29076</v>
      </c>
      <c r="J16" s="647" t="s">
        <v>96</v>
      </c>
      <c r="K16" s="533">
        <f t="shared" si="2"/>
        <v>382.69706390149952</v>
      </c>
    </row>
    <row r="17" spans="1:11" s="534" customFormat="1" ht="39">
      <c r="A17" s="170">
        <v>13</v>
      </c>
      <c r="B17" s="174" t="s">
        <v>70</v>
      </c>
      <c r="C17" s="545" t="s">
        <v>63</v>
      </c>
      <c r="D17" s="536">
        <v>20044795.210000001</v>
      </c>
      <c r="E17" s="536">
        <v>293905.12</v>
      </c>
      <c r="F17" s="536">
        <v>3499347.63</v>
      </c>
      <c r="G17" s="536">
        <v>265791.61</v>
      </c>
      <c r="H17" s="536">
        <f t="shared" si="0"/>
        <v>24103839.57</v>
      </c>
      <c r="I17" s="537">
        <v>37</v>
      </c>
      <c r="J17" s="538" t="s">
        <v>118</v>
      </c>
      <c r="K17" s="539">
        <f t="shared" si="2"/>
        <v>651455.12351351348</v>
      </c>
    </row>
    <row r="18" spans="1:11" s="534" customFormat="1" ht="24.75" customHeight="1">
      <c r="A18" s="170">
        <v>14</v>
      </c>
      <c r="B18" s="172" t="s">
        <v>72</v>
      </c>
      <c r="C18" s="535" t="s">
        <v>52</v>
      </c>
      <c r="D18" s="536">
        <v>4426221.68</v>
      </c>
      <c r="E18" s="536">
        <v>0</v>
      </c>
      <c r="F18" s="536">
        <v>0</v>
      </c>
      <c r="G18" s="536">
        <v>0</v>
      </c>
      <c r="H18" s="536">
        <f t="shared" si="0"/>
        <v>4426221.68</v>
      </c>
      <c r="I18" s="537">
        <v>1</v>
      </c>
      <c r="J18" s="538" t="s">
        <v>97</v>
      </c>
      <c r="K18" s="539">
        <f t="shared" si="2"/>
        <v>4426221.68</v>
      </c>
    </row>
    <row r="19" spans="1:11" s="534" customFormat="1" ht="39">
      <c r="A19" s="170">
        <v>15</v>
      </c>
      <c r="B19" s="172" t="s">
        <v>235</v>
      </c>
      <c r="C19" s="535" t="s">
        <v>52</v>
      </c>
      <c r="D19" s="536">
        <v>4626965.4000000004</v>
      </c>
      <c r="E19" s="536">
        <v>0</v>
      </c>
      <c r="F19" s="536">
        <v>0</v>
      </c>
      <c r="G19" s="536">
        <v>13098004.939999999</v>
      </c>
      <c r="H19" s="536">
        <f t="shared" si="0"/>
        <v>17724970.34</v>
      </c>
      <c r="I19" s="537">
        <v>728</v>
      </c>
      <c r="J19" s="540" t="s">
        <v>98</v>
      </c>
      <c r="K19" s="539">
        <f t="shared" si="2"/>
        <v>24347.486730769229</v>
      </c>
    </row>
    <row r="20" spans="1:11" s="534" customFormat="1" ht="78">
      <c r="A20" s="170">
        <v>16</v>
      </c>
      <c r="B20" s="172" t="s">
        <v>73</v>
      </c>
      <c r="C20" s="535" t="s">
        <v>59</v>
      </c>
      <c r="D20" s="536">
        <v>1011668.5700000001</v>
      </c>
      <c r="E20" s="536">
        <v>17487.810000000001</v>
      </c>
      <c r="F20" s="536">
        <v>312549.69000000006</v>
      </c>
      <c r="G20" s="536">
        <v>54030.76</v>
      </c>
      <c r="H20" s="536">
        <f t="shared" si="0"/>
        <v>1395736.8300000003</v>
      </c>
      <c r="I20" s="537">
        <v>377</v>
      </c>
      <c r="J20" s="540" t="s">
        <v>214</v>
      </c>
      <c r="K20" s="539">
        <f t="shared" si="2"/>
        <v>3702.2197082228126</v>
      </c>
    </row>
    <row r="21" spans="1:11" s="534" customFormat="1" ht="24.75" customHeight="1">
      <c r="A21" s="170">
        <v>17</v>
      </c>
      <c r="B21" s="172" t="s">
        <v>74</v>
      </c>
      <c r="C21" s="535" t="s">
        <v>60</v>
      </c>
      <c r="D21" s="536">
        <v>1671922.7699999986</v>
      </c>
      <c r="E21" s="536">
        <v>49687.810000000005</v>
      </c>
      <c r="F21" s="536">
        <v>348380.06</v>
      </c>
      <c r="G21" s="536">
        <v>80033.909999999989</v>
      </c>
      <c r="H21" s="536">
        <f t="shared" si="0"/>
        <v>2150024.5499999989</v>
      </c>
      <c r="I21" s="537">
        <v>1</v>
      </c>
      <c r="J21" s="538" t="s">
        <v>95</v>
      </c>
      <c r="K21" s="539">
        <f>+H21/I21</f>
        <v>2150024.5499999989</v>
      </c>
    </row>
    <row r="22" spans="1:11" s="534" customFormat="1" ht="39">
      <c r="A22" s="170">
        <v>18</v>
      </c>
      <c r="B22" s="172" t="s">
        <v>75</v>
      </c>
      <c r="C22" s="535" t="s">
        <v>179</v>
      </c>
      <c r="D22" s="536">
        <v>12675081.720000001</v>
      </c>
      <c r="E22" s="536">
        <v>247069.94</v>
      </c>
      <c r="F22" s="536">
        <v>2959225.39</v>
      </c>
      <c r="G22" s="536">
        <v>433898.67999999993</v>
      </c>
      <c r="H22" s="536">
        <f t="shared" si="0"/>
        <v>16315275.73</v>
      </c>
      <c r="I22" s="641">
        <v>20527</v>
      </c>
      <c r="J22" s="540" t="s">
        <v>130</v>
      </c>
      <c r="K22" s="539">
        <f t="shared" si="2"/>
        <v>794.82027232425582</v>
      </c>
    </row>
    <row r="23" spans="1:11" s="534" customFormat="1" ht="39">
      <c r="A23" s="170">
        <v>19</v>
      </c>
      <c r="B23" s="172" t="s">
        <v>76</v>
      </c>
      <c r="C23" s="535" t="s">
        <v>62</v>
      </c>
      <c r="D23" s="536">
        <v>3995467.38</v>
      </c>
      <c r="E23" s="536">
        <v>147748.43</v>
      </c>
      <c r="F23" s="536">
        <v>1177427.26</v>
      </c>
      <c r="G23" s="536">
        <v>382297.53</v>
      </c>
      <c r="H23" s="536">
        <f t="shared" si="0"/>
        <v>5702940.6000000006</v>
      </c>
      <c r="I23" s="641">
        <v>12854</v>
      </c>
      <c r="J23" s="540" t="s">
        <v>104</v>
      </c>
      <c r="K23" s="539">
        <f t="shared" si="2"/>
        <v>443.67049945542249</v>
      </c>
    </row>
    <row r="24" spans="1:11" s="642" customFormat="1" ht="41.25" customHeight="1">
      <c r="A24" s="175">
        <v>20</v>
      </c>
      <c r="B24" s="659" t="s">
        <v>77</v>
      </c>
      <c r="C24" s="541" t="s">
        <v>62</v>
      </c>
      <c r="D24" s="542">
        <v>6211301.6600000001</v>
      </c>
      <c r="E24" s="542">
        <v>281192.12</v>
      </c>
      <c r="F24" s="542">
        <v>1088509.57</v>
      </c>
      <c r="G24" s="542">
        <v>513130.58</v>
      </c>
      <c r="H24" s="542">
        <f t="shared" si="0"/>
        <v>8094133.9300000006</v>
      </c>
      <c r="I24" s="543">
        <v>296</v>
      </c>
      <c r="J24" s="660" t="s">
        <v>102</v>
      </c>
      <c r="K24" s="544">
        <f t="shared" si="2"/>
        <v>27345.047060810812</v>
      </c>
    </row>
    <row r="25" spans="1:11" s="534" customFormat="1" ht="22.5" customHeight="1">
      <c r="A25" s="168">
        <v>21</v>
      </c>
      <c r="B25" s="646" t="s">
        <v>78</v>
      </c>
      <c r="C25" s="529" t="s">
        <v>62</v>
      </c>
      <c r="D25" s="530">
        <v>4913360.79</v>
      </c>
      <c r="E25" s="530">
        <v>285174.59999999998</v>
      </c>
      <c r="F25" s="530">
        <v>1252310.1100000001</v>
      </c>
      <c r="G25" s="530">
        <v>341585.53</v>
      </c>
      <c r="H25" s="530">
        <f t="shared" si="0"/>
        <v>6792431.0300000003</v>
      </c>
      <c r="I25" s="531">
        <v>368</v>
      </c>
      <c r="J25" s="647" t="s">
        <v>101</v>
      </c>
      <c r="K25" s="533">
        <f t="shared" si="2"/>
        <v>18457.693016304347</v>
      </c>
    </row>
    <row r="26" spans="1:11" s="534" customFormat="1" ht="24.75" customHeight="1">
      <c r="A26" s="170">
        <v>22</v>
      </c>
      <c r="B26" s="171" t="s">
        <v>79</v>
      </c>
      <c r="C26" s="535" t="s">
        <v>62</v>
      </c>
      <c r="D26" s="536">
        <v>6571481.9000000004</v>
      </c>
      <c r="E26" s="536">
        <v>8850</v>
      </c>
      <c r="F26" s="536">
        <v>29094.02</v>
      </c>
      <c r="G26" s="536">
        <v>128282.65</v>
      </c>
      <c r="H26" s="536">
        <f t="shared" si="0"/>
        <v>6737708.5700000003</v>
      </c>
      <c r="I26" s="641">
        <v>301709</v>
      </c>
      <c r="J26" s="538" t="s">
        <v>103</v>
      </c>
      <c r="K26" s="539">
        <f t="shared" si="2"/>
        <v>22.331811679465975</v>
      </c>
    </row>
    <row r="27" spans="1:11" s="534" customFormat="1" ht="41.25" customHeight="1">
      <c r="A27" s="170">
        <v>23</v>
      </c>
      <c r="B27" s="172" t="s">
        <v>80</v>
      </c>
      <c r="C27" s="535" t="s">
        <v>62</v>
      </c>
      <c r="D27" s="536">
        <v>3270114.99</v>
      </c>
      <c r="E27" s="536">
        <v>90823.77</v>
      </c>
      <c r="F27" s="536">
        <v>689918.99</v>
      </c>
      <c r="G27" s="536">
        <v>297342.53000000003</v>
      </c>
      <c r="H27" s="536">
        <f t="shared" si="0"/>
        <v>4348200.28</v>
      </c>
      <c r="I27" s="641">
        <v>68188</v>
      </c>
      <c r="J27" s="540" t="s">
        <v>130</v>
      </c>
      <c r="K27" s="539">
        <f>+H27/I27</f>
        <v>63.767822490760842</v>
      </c>
    </row>
    <row r="28" spans="1:11" s="534" customFormat="1" ht="24.75" customHeight="1">
      <c r="A28" s="798" t="s">
        <v>19</v>
      </c>
      <c r="B28" s="799"/>
      <c r="C28" s="800"/>
      <c r="D28" s="546">
        <f>SUM(D3:D27)</f>
        <v>286416929.21000004</v>
      </c>
      <c r="E28" s="546">
        <f>SUM(E3:E27)</f>
        <v>9305921.2799999975</v>
      </c>
      <c r="F28" s="546">
        <f>SUM(F3:F27)</f>
        <v>73947124.949999988</v>
      </c>
      <c r="G28" s="546">
        <f>SUM(G3:G27)</f>
        <v>37010311.669999994</v>
      </c>
      <c r="H28" s="546">
        <f>SUM(H3:H27)</f>
        <v>406680287.1099999</v>
      </c>
      <c r="I28" s="547"/>
      <c r="J28" s="548"/>
      <c r="K28" s="549"/>
    </row>
    <row r="29" spans="1:11">
      <c r="H29" s="550">
        <f>ตารางที่1!F14</f>
        <v>406680287.10999995</v>
      </c>
    </row>
    <row r="30" spans="1:11">
      <c r="H30" s="550">
        <f>H28-H29</f>
        <v>0</v>
      </c>
    </row>
  </sheetData>
  <mergeCells count="2">
    <mergeCell ref="A2:B2"/>
    <mergeCell ref="A28:C28"/>
  </mergeCells>
  <pageMargins left="0.70866141732283472" right="0.39370078740157483" top="0.55118110236220474" bottom="0.26" header="0.31496062992125984" footer="0.19685039370078741"/>
  <pageSetup paperSize="9" scale="94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5"/>
  <sheetViews>
    <sheetView workbookViewId="0">
      <selection activeCell="H15" sqref="H15"/>
    </sheetView>
  </sheetViews>
  <sheetFormatPr defaultRowHeight="24"/>
  <cols>
    <col min="1" max="1" width="2.625" style="3" customWidth="1"/>
    <col min="2" max="2" width="49.5" style="3" customWidth="1"/>
    <col min="3" max="3" width="21.25" style="3" customWidth="1"/>
    <col min="4" max="8" width="14.75" style="3" customWidth="1"/>
    <col min="9" max="10" width="9" style="3" customWidth="1"/>
    <col min="11" max="11" width="15" style="3" customWidth="1"/>
    <col min="12" max="16384" width="9" style="3"/>
  </cols>
  <sheetData>
    <row r="1" spans="1:15" s="8" customFormat="1" ht="31.5" customHeight="1">
      <c r="A1" s="5" t="s">
        <v>199</v>
      </c>
      <c r="G1" s="9"/>
      <c r="H1" s="9"/>
      <c r="K1" s="10" t="s">
        <v>10</v>
      </c>
    </row>
    <row r="2" spans="1:15" ht="31.5" customHeight="1">
      <c r="A2" s="801" t="s">
        <v>145</v>
      </c>
      <c r="B2" s="801"/>
      <c r="C2" s="6" t="s">
        <v>86</v>
      </c>
      <c r="D2" s="299" t="s">
        <v>197</v>
      </c>
      <c r="E2" s="299" t="s">
        <v>139</v>
      </c>
      <c r="F2" s="299" t="s">
        <v>1</v>
      </c>
      <c r="G2" s="299" t="s">
        <v>84</v>
      </c>
      <c r="H2" s="6" t="s">
        <v>87</v>
      </c>
      <c r="I2" s="6" t="s">
        <v>88</v>
      </c>
      <c r="J2" s="6" t="s">
        <v>89</v>
      </c>
      <c r="K2" s="6" t="s">
        <v>90</v>
      </c>
    </row>
    <row r="3" spans="1:15" ht="31.5" customHeight="1">
      <c r="A3" s="189">
        <v>1</v>
      </c>
      <c r="B3" s="190" t="s">
        <v>236</v>
      </c>
      <c r="C3" s="191" t="s">
        <v>46</v>
      </c>
      <c r="D3" s="192">
        <v>24991210.473195016</v>
      </c>
      <c r="E3" s="192">
        <v>1039648.494701</v>
      </c>
      <c r="F3" s="192">
        <v>7758470.6174659999</v>
      </c>
      <c r="G3" s="192">
        <v>3127107.3868710003</v>
      </c>
      <c r="H3" s="192">
        <f>SUM(D3:G3)</f>
        <v>36916436.97223302</v>
      </c>
      <c r="I3" s="193">
        <v>645</v>
      </c>
      <c r="J3" s="193" t="s">
        <v>92</v>
      </c>
      <c r="K3" s="194">
        <f t="shared" ref="K3:K10" si="0">+H3/I3</f>
        <v>57234.786003462046</v>
      </c>
    </row>
    <row r="4" spans="1:15" s="551" customFormat="1">
      <c r="A4" s="195">
        <v>2</v>
      </c>
      <c r="B4" s="161" t="s">
        <v>272</v>
      </c>
      <c r="C4" s="648" t="s">
        <v>82</v>
      </c>
      <c r="D4" s="158">
        <v>113033003.02018601</v>
      </c>
      <c r="E4" s="158">
        <v>3241847.1553569995</v>
      </c>
      <c r="F4" s="158">
        <v>32280798.498194002</v>
      </c>
      <c r="G4" s="158">
        <v>8035377.2408300005</v>
      </c>
      <c r="H4" s="158">
        <f>SUM(D4:G4)</f>
        <v>156591025.91456702</v>
      </c>
      <c r="I4" s="159">
        <v>706</v>
      </c>
      <c r="J4" s="159" t="s">
        <v>93</v>
      </c>
      <c r="K4" s="160">
        <f t="shared" si="0"/>
        <v>221800.31999230458</v>
      </c>
      <c r="L4" s="3"/>
      <c r="M4" s="3"/>
      <c r="N4" s="3"/>
      <c r="O4" s="3"/>
    </row>
    <row r="5" spans="1:15" ht="72">
      <c r="A5" s="195">
        <v>3</v>
      </c>
      <c r="B5" s="161" t="s">
        <v>65</v>
      </c>
      <c r="C5" s="157" t="s">
        <v>51</v>
      </c>
      <c r="D5" s="158">
        <v>10480032.981748</v>
      </c>
      <c r="E5" s="158">
        <v>393907.78171799995</v>
      </c>
      <c r="F5" s="158">
        <v>1901054.6335190001</v>
      </c>
      <c r="G5" s="158">
        <v>1561326.501707</v>
      </c>
      <c r="H5" s="158">
        <f t="shared" ref="H5:H10" si="1">SUM(D5:G5)</f>
        <v>14336321.898692001</v>
      </c>
      <c r="I5" s="159">
        <v>7</v>
      </c>
      <c r="J5" s="162" t="s">
        <v>94</v>
      </c>
      <c r="K5" s="160">
        <f t="shared" si="0"/>
        <v>2048045.9855274286</v>
      </c>
    </row>
    <row r="6" spans="1:15" ht="48">
      <c r="A6" s="195">
        <v>4</v>
      </c>
      <c r="B6" s="163" t="s">
        <v>68</v>
      </c>
      <c r="C6" s="157" t="s">
        <v>56</v>
      </c>
      <c r="D6" s="158">
        <v>14786548.568781</v>
      </c>
      <c r="E6" s="158">
        <v>497780.96960400004</v>
      </c>
      <c r="F6" s="158">
        <v>2069023.9803880001</v>
      </c>
      <c r="G6" s="158">
        <v>1605339.220313</v>
      </c>
      <c r="H6" s="158">
        <f t="shared" si="1"/>
        <v>18958692.739086002</v>
      </c>
      <c r="I6" s="159">
        <v>77</v>
      </c>
      <c r="J6" s="159" t="s">
        <v>118</v>
      </c>
      <c r="K6" s="160">
        <f t="shared" si="0"/>
        <v>246216.78881929873</v>
      </c>
    </row>
    <row r="7" spans="1:15">
      <c r="A7" s="195">
        <v>5</v>
      </c>
      <c r="B7" s="156" t="s">
        <v>69</v>
      </c>
      <c r="C7" s="157" t="s">
        <v>53</v>
      </c>
      <c r="D7" s="158">
        <v>25018732.381788004</v>
      </c>
      <c r="E7" s="158">
        <v>842233.09683199995</v>
      </c>
      <c r="F7" s="158">
        <v>7259535.9197660014</v>
      </c>
      <c r="G7" s="158">
        <v>1999879.1644530003</v>
      </c>
      <c r="H7" s="158">
        <f t="shared" si="1"/>
        <v>35120380.562839009</v>
      </c>
      <c r="I7" s="159">
        <v>17</v>
      </c>
      <c r="J7" s="649" t="s">
        <v>124</v>
      </c>
      <c r="K7" s="160">
        <f t="shared" si="0"/>
        <v>2065904.7389905299</v>
      </c>
    </row>
    <row r="8" spans="1:15" s="551" customFormat="1">
      <c r="A8" s="195">
        <v>6</v>
      </c>
      <c r="B8" s="161" t="s">
        <v>215</v>
      </c>
      <c r="C8" s="648" t="s">
        <v>55</v>
      </c>
      <c r="D8" s="158">
        <v>41582528.047615997</v>
      </c>
      <c r="E8" s="158">
        <v>967759.19653099985</v>
      </c>
      <c r="F8" s="158">
        <v>10071978.063174</v>
      </c>
      <c r="G8" s="158">
        <v>5024858.5288660005</v>
      </c>
      <c r="H8" s="158">
        <f t="shared" si="1"/>
        <v>57647123.836186998</v>
      </c>
      <c r="I8" s="159">
        <v>552</v>
      </c>
      <c r="J8" s="159" t="s">
        <v>118</v>
      </c>
      <c r="K8" s="160">
        <f t="shared" si="0"/>
        <v>104433.19535541123</v>
      </c>
      <c r="L8" s="3"/>
      <c r="M8" s="3"/>
      <c r="N8" s="3"/>
      <c r="O8" s="3"/>
    </row>
    <row r="9" spans="1:15" ht="97.5" customHeight="1">
      <c r="A9" s="195">
        <v>7</v>
      </c>
      <c r="B9" s="161" t="s">
        <v>210</v>
      </c>
      <c r="C9" s="157" t="s">
        <v>54</v>
      </c>
      <c r="D9" s="158">
        <v>31945021.314093001</v>
      </c>
      <c r="E9" s="158">
        <v>1025239.862304</v>
      </c>
      <c r="F9" s="158">
        <v>8791994.9217450004</v>
      </c>
      <c r="G9" s="158">
        <v>2104057.4222790003</v>
      </c>
      <c r="H9" s="158">
        <f t="shared" si="1"/>
        <v>43866313.520420998</v>
      </c>
      <c r="I9" s="159">
        <v>644</v>
      </c>
      <c r="J9" s="649" t="s">
        <v>124</v>
      </c>
      <c r="K9" s="160">
        <f t="shared" si="0"/>
        <v>68115.393665249998</v>
      </c>
    </row>
    <row r="10" spans="1:15" ht="33.75" customHeight="1">
      <c r="A10" s="195">
        <v>8</v>
      </c>
      <c r="B10" s="196" t="s">
        <v>71</v>
      </c>
      <c r="C10" s="164" t="s">
        <v>52</v>
      </c>
      <c r="D10" s="165">
        <v>24579852.422592998</v>
      </c>
      <c r="E10" s="165">
        <v>1297504.7229529999</v>
      </c>
      <c r="F10" s="165">
        <v>3814268.3157479996</v>
      </c>
      <c r="G10" s="165">
        <v>13552366.204681</v>
      </c>
      <c r="H10" s="165">
        <f t="shared" si="1"/>
        <v>43243991.665974997</v>
      </c>
      <c r="I10" s="166">
        <v>3</v>
      </c>
      <c r="J10" s="166" t="s">
        <v>97</v>
      </c>
      <c r="K10" s="167">
        <f t="shared" si="0"/>
        <v>14414663.888658332</v>
      </c>
    </row>
    <row r="11" spans="1:15" ht="33.75" customHeight="1">
      <c r="A11" s="802" t="s">
        <v>19</v>
      </c>
      <c r="B11" s="803"/>
      <c r="C11" s="804"/>
      <c r="D11" s="300">
        <f>SUM(D3:D10)</f>
        <v>286416929.21000004</v>
      </c>
      <c r="E11" s="300">
        <f>SUM(E3:E10)</f>
        <v>9305921.2799999993</v>
      </c>
      <c r="F11" s="300">
        <f>SUM(F3:F10)</f>
        <v>73947124.950000018</v>
      </c>
      <c r="G11" s="300">
        <f>SUM(G3:G10)</f>
        <v>37010311.670000002</v>
      </c>
      <c r="H11" s="300">
        <f>SUM(H3:H10)</f>
        <v>406680287.11000001</v>
      </c>
      <c r="I11" s="301"/>
      <c r="J11" s="301"/>
      <c r="K11" s="301"/>
    </row>
    <row r="13" spans="1:15">
      <c r="H13" s="483">
        <f>+H11-ตารางที่1!G33</f>
        <v>0</v>
      </c>
    </row>
    <row r="25" spans="10:10">
      <c r="J25" s="201"/>
    </row>
  </sheetData>
  <mergeCells count="2">
    <mergeCell ref="A2:B2"/>
    <mergeCell ref="A11:C11"/>
  </mergeCells>
  <printOptions horizontalCentered="1"/>
  <pageMargins left="0.70866141732283472" right="0.39370078740157483" top="0.55118110236220474" bottom="0.35433070866141736" header="0.31496062992125984" footer="0.31496062992125984"/>
  <pageSetup paperSize="9" scale="7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8"/>
  <sheetViews>
    <sheetView workbookViewId="0">
      <selection activeCell="G7" sqref="G7"/>
    </sheetView>
  </sheetViews>
  <sheetFormatPr defaultRowHeight="24"/>
  <cols>
    <col min="1" max="1" width="42.375" style="8" customWidth="1"/>
    <col min="2" max="6" width="14" style="8" customWidth="1"/>
    <col min="7" max="8" width="7.5" style="9" customWidth="1"/>
    <col min="9" max="9" width="16" style="8" customWidth="1"/>
    <col min="10" max="16384" width="9" style="8"/>
  </cols>
  <sheetData>
    <row r="1" spans="1:9">
      <c r="A1" s="5" t="s">
        <v>198</v>
      </c>
      <c r="I1" s="10" t="s">
        <v>10</v>
      </c>
    </row>
    <row r="2" spans="1:9">
      <c r="A2" s="6" t="s">
        <v>105</v>
      </c>
      <c r="B2" s="299" t="s">
        <v>197</v>
      </c>
      <c r="C2" s="299" t="s">
        <v>139</v>
      </c>
      <c r="D2" s="299" t="s">
        <v>1</v>
      </c>
      <c r="E2" s="299" t="s">
        <v>84</v>
      </c>
      <c r="F2" s="6" t="s">
        <v>87</v>
      </c>
      <c r="G2" s="6" t="s">
        <v>88</v>
      </c>
      <c r="H2" s="6" t="s">
        <v>89</v>
      </c>
      <c r="I2" s="6" t="s">
        <v>90</v>
      </c>
    </row>
    <row r="3" spans="1:9">
      <c r="A3" s="177" t="s">
        <v>106</v>
      </c>
      <c r="B3" s="178">
        <v>114519118.92899995</v>
      </c>
      <c r="C3" s="178">
        <v>3319124.8455000003</v>
      </c>
      <c r="D3" s="178">
        <v>38297527.769000024</v>
      </c>
      <c r="E3" s="178">
        <v>4694811.5385000007</v>
      </c>
      <c r="F3" s="179">
        <f t="shared" ref="F3:F8" si="0">SUM(B3:E3)</f>
        <v>160830583.08199999</v>
      </c>
      <c r="G3" s="180">
        <v>767</v>
      </c>
      <c r="H3" s="180" t="s">
        <v>93</v>
      </c>
      <c r="I3" s="181">
        <f>+F3/G3</f>
        <v>209687.85277966101</v>
      </c>
    </row>
    <row r="4" spans="1:9">
      <c r="A4" s="182" t="s">
        <v>107</v>
      </c>
      <c r="B4" s="183">
        <v>103857220.78000005</v>
      </c>
      <c r="C4" s="183">
        <v>4021500.1189999986</v>
      </c>
      <c r="D4" s="183">
        <v>20632219.591000021</v>
      </c>
      <c r="E4" s="183">
        <v>5839406.5649999958</v>
      </c>
      <c r="F4" s="184">
        <f t="shared" si="0"/>
        <v>134350347.05500007</v>
      </c>
      <c r="G4" s="185">
        <v>41</v>
      </c>
      <c r="H4" s="185" t="s">
        <v>91</v>
      </c>
      <c r="I4" s="186">
        <f>+F4/G4</f>
        <v>3276837.7330487822</v>
      </c>
    </row>
    <row r="5" spans="1:9" ht="48">
      <c r="A5" s="182" t="s">
        <v>237</v>
      </c>
      <c r="B5" s="187">
        <v>23175635.578999996</v>
      </c>
      <c r="C5" s="187">
        <v>496977.84010000003</v>
      </c>
      <c r="D5" s="187">
        <v>6214847.7485999996</v>
      </c>
      <c r="E5" s="187">
        <v>582164.70590000006</v>
      </c>
      <c r="F5" s="184">
        <f t="shared" si="0"/>
        <v>30469625.873599995</v>
      </c>
      <c r="G5" s="185">
        <v>161</v>
      </c>
      <c r="H5" s="185" t="s">
        <v>93</v>
      </c>
      <c r="I5" s="186">
        <f t="shared" ref="I5" si="1">+F5/G5</f>
        <v>189252.3346186335</v>
      </c>
    </row>
    <row r="6" spans="1:9" ht="48">
      <c r="A6" s="182" t="s">
        <v>238</v>
      </c>
      <c r="B6" s="188">
        <v>7134408.9209999992</v>
      </c>
      <c r="C6" s="188">
        <v>157006.28220000002</v>
      </c>
      <c r="D6" s="188">
        <v>2572338.2412</v>
      </c>
      <c r="E6" s="188">
        <v>209050.6128</v>
      </c>
      <c r="F6" s="184">
        <f t="shared" si="0"/>
        <v>10072804.0572</v>
      </c>
      <c r="G6" s="185">
        <v>50</v>
      </c>
      <c r="H6" s="185" t="s">
        <v>93</v>
      </c>
      <c r="I6" s="186">
        <f>+F6/G6</f>
        <v>201456.081144</v>
      </c>
    </row>
    <row r="7" spans="1:9" ht="48">
      <c r="A7" s="517" t="s">
        <v>239</v>
      </c>
      <c r="B7" s="513">
        <v>7134408.9210000001</v>
      </c>
      <c r="C7" s="513">
        <v>157006.28220000002</v>
      </c>
      <c r="D7" s="513">
        <v>2572338.2412</v>
      </c>
      <c r="E7" s="513">
        <v>209050.6128</v>
      </c>
      <c r="F7" s="514">
        <f t="shared" si="0"/>
        <v>10072804.057200002</v>
      </c>
      <c r="G7" s="515">
        <v>19</v>
      </c>
      <c r="H7" s="515" t="s">
        <v>93</v>
      </c>
      <c r="I7" s="516">
        <f>+F7/G7</f>
        <v>530147.58195789484</v>
      </c>
    </row>
    <row r="8" spans="1:9" ht="48">
      <c r="A8" s="182" t="s">
        <v>240</v>
      </c>
      <c r="B8" s="183">
        <v>30596136.080000002</v>
      </c>
      <c r="C8" s="183">
        <v>1154305.9109999998</v>
      </c>
      <c r="D8" s="183">
        <v>3657853.3589999997</v>
      </c>
      <c r="E8" s="183">
        <v>25475827.635000002</v>
      </c>
      <c r="F8" s="184">
        <f t="shared" si="0"/>
        <v>60884122.984999999</v>
      </c>
      <c r="G8" s="185">
        <v>3</v>
      </c>
      <c r="H8" s="185" t="s">
        <v>97</v>
      </c>
      <c r="I8" s="186">
        <f>+F8/G8</f>
        <v>20294707.661666665</v>
      </c>
    </row>
    <row r="9" spans="1:9">
      <c r="A9" s="298" t="s">
        <v>19</v>
      </c>
      <c r="B9" s="7">
        <f>SUM(B3:B8)</f>
        <v>286416929.20999998</v>
      </c>
      <c r="C9" s="7">
        <f>SUM(C3:C8)</f>
        <v>9305921.2799999993</v>
      </c>
      <c r="D9" s="7">
        <f>SUM(D3:D8)</f>
        <v>73947124.950000048</v>
      </c>
      <c r="E9" s="7">
        <f>SUM(E3:E8)</f>
        <v>37010311.670000002</v>
      </c>
      <c r="F9" s="7">
        <f>SUM(F3:F8)</f>
        <v>406680287.11000013</v>
      </c>
      <c r="G9" s="12"/>
      <c r="H9" s="12"/>
      <c r="I9" s="11"/>
    </row>
    <row r="11" spans="1:9">
      <c r="F11" s="484">
        <f>+F9-ตารางที่1!G33</f>
        <v>0</v>
      </c>
    </row>
    <row r="28" spans="10:10">
      <c r="J28" s="202"/>
    </row>
  </sheetData>
  <printOptions horizontalCentered="1"/>
  <pageMargins left="0.70866141732283472" right="0.39370078740157483" top="0.55118110236220474" bottom="0.35433070866141736" header="0.31496062992125984" footer="0.31496062992125984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8"/>
  <sheetViews>
    <sheetView workbookViewId="0">
      <selection activeCell="I15" sqref="I15"/>
    </sheetView>
  </sheetViews>
  <sheetFormatPr defaultRowHeight="14.25"/>
  <cols>
    <col min="1" max="1" width="33" customWidth="1"/>
    <col min="2" max="6" width="15" customWidth="1"/>
    <col min="7" max="8" width="7.5" customWidth="1"/>
    <col min="9" max="9" width="15" customWidth="1"/>
  </cols>
  <sheetData>
    <row r="1" spans="1:9" s="8" customFormat="1" ht="24">
      <c r="A1" s="5" t="s">
        <v>108</v>
      </c>
      <c r="E1" s="9"/>
      <c r="F1" s="9"/>
      <c r="I1" s="10" t="s">
        <v>10</v>
      </c>
    </row>
    <row r="2" spans="1:9" s="3" customFormat="1" ht="24">
      <c r="A2" s="6" t="s">
        <v>153</v>
      </c>
      <c r="B2" s="299" t="s">
        <v>197</v>
      </c>
      <c r="C2" s="299" t="s">
        <v>139</v>
      </c>
      <c r="D2" s="299" t="s">
        <v>1</v>
      </c>
      <c r="E2" s="299" t="s">
        <v>84</v>
      </c>
      <c r="F2" s="6" t="s">
        <v>87</v>
      </c>
      <c r="G2" s="6" t="s">
        <v>88</v>
      </c>
      <c r="H2" s="6" t="s">
        <v>89</v>
      </c>
      <c r="I2" s="6" t="s">
        <v>90</v>
      </c>
    </row>
    <row r="3" spans="1:9" s="3" customFormat="1" ht="24">
      <c r="A3" s="177" t="s">
        <v>109</v>
      </c>
      <c r="B3" s="192">
        <v>248972475.789</v>
      </c>
      <c r="C3" s="192">
        <v>8494930.875500001</v>
      </c>
      <c r="D3" s="192">
        <v>62587600.719000019</v>
      </c>
      <c r="E3" s="192">
        <v>36010045.738500021</v>
      </c>
      <c r="F3" s="192">
        <f>SUM(B3:E3)</f>
        <v>356065053.12200004</v>
      </c>
      <c r="G3" s="193">
        <f>244+65</f>
        <v>309</v>
      </c>
      <c r="H3" s="193" t="s">
        <v>93</v>
      </c>
      <c r="I3" s="194">
        <f>+F3/G3</f>
        <v>1152314.087773463</v>
      </c>
    </row>
    <row r="4" spans="1:9" ht="74.25" customHeight="1">
      <c r="A4" s="182" t="s">
        <v>155</v>
      </c>
      <c r="B4" s="158">
        <v>23175635.578999996</v>
      </c>
      <c r="C4" s="158">
        <v>496977.84010000003</v>
      </c>
      <c r="D4" s="158">
        <v>6214847.7485999996</v>
      </c>
      <c r="E4" s="158">
        <v>582164.70590000006</v>
      </c>
      <c r="F4" s="158">
        <f t="shared" ref="F4:F6" si="0">SUM(B4:E4)</f>
        <v>30469625.873599995</v>
      </c>
      <c r="G4" s="185">
        <v>161</v>
      </c>
      <c r="H4" s="185" t="s">
        <v>93</v>
      </c>
      <c r="I4" s="160">
        <f>+F4/G4</f>
        <v>189252.3346186335</v>
      </c>
    </row>
    <row r="5" spans="1:9" ht="96">
      <c r="A5" s="182" t="s">
        <v>216</v>
      </c>
      <c r="B5" s="158">
        <v>7134408.9209999992</v>
      </c>
      <c r="C5" s="158">
        <v>157006.28220000002</v>
      </c>
      <c r="D5" s="158">
        <v>2572338.2412</v>
      </c>
      <c r="E5" s="158">
        <v>209050.6128</v>
      </c>
      <c r="F5" s="158">
        <f t="shared" si="0"/>
        <v>10072804.0572</v>
      </c>
      <c r="G5" s="185">
        <v>50</v>
      </c>
      <c r="H5" s="185" t="s">
        <v>93</v>
      </c>
      <c r="I5" s="160">
        <f>+F5/G5</f>
        <v>201456.081144</v>
      </c>
    </row>
    <row r="6" spans="1:9" ht="74.25" customHeight="1">
      <c r="A6" s="555" t="s">
        <v>217</v>
      </c>
      <c r="B6" s="552">
        <v>7134408.9209999992</v>
      </c>
      <c r="C6" s="552">
        <v>157006.28220000002</v>
      </c>
      <c r="D6" s="552">
        <v>2572338.2412</v>
      </c>
      <c r="E6" s="552">
        <v>209050.6128</v>
      </c>
      <c r="F6" s="552">
        <f t="shared" si="0"/>
        <v>10072804.0572</v>
      </c>
      <c r="G6" s="553">
        <v>19</v>
      </c>
      <c r="H6" s="553" t="s">
        <v>93</v>
      </c>
      <c r="I6" s="554">
        <f>+F6/G6</f>
        <v>530147.58195789473</v>
      </c>
    </row>
    <row r="7" spans="1:9" s="304" customFormat="1" ht="24">
      <c r="A7" s="302" t="s">
        <v>19</v>
      </c>
      <c r="B7" s="300">
        <f>SUM(B3:B6)</f>
        <v>286416929.21000004</v>
      </c>
      <c r="C7" s="300">
        <f t="shared" ref="C7:E7" si="1">SUM(C3:C6)</f>
        <v>9305921.2799999993</v>
      </c>
      <c r="D7" s="300">
        <f t="shared" si="1"/>
        <v>73947124.950000018</v>
      </c>
      <c r="E7" s="300">
        <f t="shared" si="1"/>
        <v>37010311.670000024</v>
      </c>
      <c r="F7" s="300">
        <f>SUM(F3:F6)</f>
        <v>406680287.11000007</v>
      </c>
      <c r="G7" s="303"/>
      <c r="H7" s="303"/>
      <c r="I7" s="303"/>
    </row>
    <row r="9" spans="1:9">
      <c r="F9" s="495">
        <f>+ตารางที่1!G33-ตารางที่6!F7</f>
        <v>0</v>
      </c>
    </row>
    <row r="28" spans="10:10">
      <c r="J28" s="200"/>
    </row>
  </sheetData>
  <printOptions horizontalCentered="1"/>
  <pageMargins left="0.70866141732283472" right="0.39370078740157483" top="0.55118110236220474" bottom="0.35433070866141736" header="0.31496062992125984" footer="0.31496062992125984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40"/>
  <sheetViews>
    <sheetView topLeftCell="A22" zoomScaleNormal="100" zoomScaleSheetLayoutView="130" workbookViewId="0">
      <selection activeCell="B29" sqref="B29:Z29"/>
    </sheetView>
  </sheetViews>
  <sheetFormatPr defaultRowHeight="15"/>
  <cols>
    <col min="1" max="1" width="0.625" style="31" customWidth="1"/>
    <col min="2" max="2" width="20.75" style="33" customWidth="1"/>
    <col min="3" max="3" width="3.125" style="23" customWidth="1"/>
    <col min="4" max="4" width="9.25" style="31" bestFit="1" customWidth="1"/>
    <col min="5" max="7" width="8.625" style="31" bestFit="1" customWidth="1"/>
    <col min="8" max="8" width="9.25" style="52" bestFit="1" customWidth="1"/>
    <col min="9" max="9" width="3.875" style="51" customWidth="1"/>
    <col min="10" max="10" width="9.25" style="51" customWidth="1"/>
    <col min="11" max="11" width="6.125" style="31" customWidth="1"/>
    <col min="12" max="12" width="20.75" style="31" customWidth="1"/>
    <col min="13" max="13" width="9.25" style="44" bestFit="1" customWidth="1"/>
    <col min="14" max="14" width="8" style="44" bestFit="1" customWidth="1"/>
    <col min="15" max="16" width="8.625" style="44" bestFit="1" customWidth="1"/>
    <col min="17" max="17" width="9.125" style="44" customWidth="1"/>
    <col min="18" max="18" width="7.75" style="27" customWidth="1"/>
    <col min="19" max="19" width="8.875" style="27" customWidth="1"/>
    <col min="20" max="20" width="8.625" style="44" bestFit="1" customWidth="1"/>
    <col min="21" max="23" width="7.125" style="28" hidden="1" customWidth="1"/>
    <col min="24" max="24" width="3.625" style="44" customWidth="1"/>
    <col min="25" max="25" width="4" style="44" customWidth="1"/>
    <col min="26" max="26" width="4.5" style="44" customWidth="1"/>
    <col min="27" max="27" width="12.375" style="30" customWidth="1"/>
    <col min="28" max="29" width="3.625" style="30" customWidth="1"/>
    <col min="30" max="30" width="4.625" style="30" customWidth="1"/>
    <col min="31" max="16384" width="9" style="31"/>
  </cols>
  <sheetData>
    <row r="1" spans="1:32" s="20" customFormat="1" ht="21.75">
      <c r="A1" s="812" t="s">
        <v>220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  <c r="Z1" s="812"/>
      <c r="AA1" s="18"/>
      <c r="AB1" s="18"/>
      <c r="AC1" s="18"/>
      <c r="AD1" s="19"/>
    </row>
    <row r="2" spans="1:32" s="20" customFormat="1" ht="24.75" customHeight="1">
      <c r="A2" s="21" t="s">
        <v>137</v>
      </c>
      <c r="B2" s="22"/>
      <c r="C2" s="23"/>
      <c r="D2" s="21"/>
      <c r="E2" s="21"/>
      <c r="F2" s="21"/>
      <c r="G2" s="18"/>
      <c r="H2" s="24"/>
      <c r="I2" s="18"/>
      <c r="J2" s="25"/>
      <c r="K2" s="18"/>
      <c r="L2" s="643"/>
      <c r="M2" s="26"/>
      <c r="N2" s="26"/>
      <c r="O2" s="26"/>
      <c r="P2" s="26"/>
      <c r="Q2" s="26"/>
      <c r="R2" s="27"/>
      <c r="S2" s="27"/>
      <c r="T2" s="26"/>
      <c r="U2" s="28"/>
      <c r="V2" s="28"/>
      <c r="W2" s="28"/>
      <c r="X2" s="813" t="s">
        <v>111</v>
      </c>
      <c r="Y2" s="813"/>
      <c r="Z2" s="813"/>
      <c r="AA2" s="29"/>
      <c r="AB2" s="29"/>
      <c r="AC2" s="29"/>
      <c r="AD2" s="19"/>
    </row>
    <row r="3" spans="1:32" ht="16.5" customHeight="1">
      <c r="A3" s="814" t="s">
        <v>85</v>
      </c>
      <c r="B3" s="815"/>
      <c r="C3" s="816" t="s">
        <v>86</v>
      </c>
      <c r="D3" s="817" t="s">
        <v>218</v>
      </c>
      <c r="E3" s="818"/>
      <c r="F3" s="818"/>
      <c r="G3" s="818"/>
      <c r="H3" s="818"/>
      <c r="I3" s="818"/>
      <c r="J3" s="818"/>
      <c r="K3" s="819"/>
      <c r="L3" s="644"/>
      <c r="M3" s="814" t="s">
        <v>219</v>
      </c>
      <c r="N3" s="814"/>
      <c r="O3" s="814"/>
      <c r="P3" s="814"/>
      <c r="Q3" s="814"/>
      <c r="R3" s="814"/>
      <c r="S3" s="814"/>
      <c r="T3" s="814"/>
      <c r="U3" s="820" t="s">
        <v>112</v>
      </c>
      <c r="V3" s="820"/>
      <c r="W3" s="820"/>
      <c r="X3" s="821" t="s">
        <v>203</v>
      </c>
      <c r="Y3" s="814"/>
      <c r="Z3" s="814"/>
      <c r="AA3" s="23"/>
      <c r="AB3" s="23"/>
      <c r="AC3" s="23"/>
    </row>
    <row r="4" spans="1:32" ht="78.75" customHeight="1">
      <c r="A4" s="814"/>
      <c r="B4" s="815"/>
      <c r="C4" s="816"/>
      <c r="D4" s="278" t="s">
        <v>113</v>
      </c>
      <c r="E4" s="282" t="s">
        <v>0</v>
      </c>
      <c r="F4" s="282" t="s">
        <v>1</v>
      </c>
      <c r="G4" s="283" t="s">
        <v>84</v>
      </c>
      <c r="H4" s="282" t="s">
        <v>87</v>
      </c>
      <c r="I4" s="281" t="s">
        <v>88</v>
      </c>
      <c r="J4" s="281" t="s">
        <v>89</v>
      </c>
      <c r="K4" s="280" t="s">
        <v>90</v>
      </c>
      <c r="L4" s="280"/>
      <c r="M4" s="278" t="s">
        <v>113</v>
      </c>
      <c r="N4" s="466" t="s">
        <v>146</v>
      </c>
      <c r="O4" s="282" t="s">
        <v>1</v>
      </c>
      <c r="P4" s="283" t="s">
        <v>84</v>
      </c>
      <c r="Q4" s="282" t="s">
        <v>87</v>
      </c>
      <c r="R4" s="281" t="s">
        <v>88</v>
      </c>
      <c r="S4" s="281" t="s">
        <v>89</v>
      </c>
      <c r="T4" s="279" t="s">
        <v>90</v>
      </c>
      <c r="U4" s="281" t="s">
        <v>114</v>
      </c>
      <c r="V4" s="281" t="s">
        <v>115</v>
      </c>
      <c r="W4" s="281" t="s">
        <v>116</v>
      </c>
      <c r="X4" s="486" t="s">
        <v>206</v>
      </c>
      <c r="Y4" s="486" t="s">
        <v>205</v>
      </c>
      <c r="Z4" s="486" t="s">
        <v>204</v>
      </c>
      <c r="AA4" s="23"/>
      <c r="AB4" s="23"/>
      <c r="AC4" s="23"/>
    </row>
    <row r="5" spans="1:32" s="33" customFormat="1" ht="24" customHeight="1">
      <c r="A5" s="806" t="s">
        <v>81</v>
      </c>
      <c r="B5" s="807"/>
      <c r="C5" s="203"/>
      <c r="D5" s="204"/>
      <c r="E5" s="205"/>
      <c r="F5" s="206"/>
      <c r="G5" s="207"/>
      <c r="H5" s="206"/>
      <c r="I5" s="230"/>
      <c r="J5" s="208"/>
      <c r="K5" s="209"/>
      <c r="L5" s="650" t="s">
        <v>81</v>
      </c>
      <c r="M5" s="650"/>
      <c r="N5" s="210"/>
      <c r="O5" s="211"/>
      <c r="P5" s="212"/>
      <c r="Q5" s="211"/>
      <c r="R5" s="274"/>
      <c r="S5" s="213"/>
      <c r="T5" s="214"/>
      <c r="U5" s="215"/>
      <c r="V5" s="215"/>
      <c r="W5" s="215"/>
      <c r="X5" s="216"/>
      <c r="Y5" s="215"/>
      <c r="Z5" s="217"/>
      <c r="AA5" s="23"/>
      <c r="AB5" s="23"/>
      <c r="AC5" s="23"/>
      <c r="AD5" s="32"/>
    </row>
    <row r="6" spans="1:32" s="36" customFormat="1" ht="18.75" customHeight="1">
      <c r="A6" s="55"/>
      <c r="B6" s="56" t="s">
        <v>134</v>
      </c>
      <c r="C6" s="218" t="s">
        <v>121</v>
      </c>
      <c r="D6" s="231">
        <v>4988631.7920000087</v>
      </c>
      <c r="E6" s="231">
        <v>1535556.72</v>
      </c>
      <c r="F6" s="231">
        <v>1944329.9789999998</v>
      </c>
      <c r="G6" s="231">
        <v>479529.24899999966</v>
      </c>
      <c r="H6" s="231">
        <f t="shared" ref="H6:H19" si="0">SUM(D6:G6)</f>
        <v>8948047.7400000077</v>
      </c>
      <c r="I6" s="271">
        <v>12</v>
      </c>
      <c r="J6" s="219" t="s">
        <v>91</v>
      </c>
      <c r="K6" s="232">
        <f t="shared" ref="K6:K19" si="1">H6/I6</f>
        <v>745670.6450000006</v>
      </c>
      <c r="L6" s="652" t="s">
        <v>134</v>
      </c>
      <c r="M6" s="233">
        <v>5118837.9870000053</v>
      </c>
      <c r="N6" s="233">
        <v>227612.61600000001</v>
      </c>
      <c r="O6" s="233">
        <v>1910225.6579999998</v>
      </c>
      <c r="P6" s="233">
        <v>506198.08799999999</v>
      </c>
      <c r="Q6" s="233">
        <f>SUM(M6:P6)</f>
        <v>7762874.3490000051</v>
      </c>
      <c r="R6" s="234">
        <v>12</v>
      </c>
      <c r="S6" s="234" t="s">
        <v>91</v>
      </c>
      <c r="T6" s="235">
        <f>+Q6/R6</f>
        <v>646906.19575000042</v>
      </c>
      <c r="U6" s="231">
        <f>Q6-H6</f>
        <v>-1185173.3910000026</v>
      </c>
      <c r="V6" s="231">
        <f>R6-I6</f>
        <v>0</v>
      </c>
      <c r="W6" s="231">
        <f>T6-K6</f>
        <v>-98764.44925000018</v>
      </c>
      <c r="X6" s="236">
        <f>+U6/H6*100</f>
        <v>-13.245049930857897</v>
      </c>
      <c r="Y6" s="231">
        <f>V6*100/I6</f>
        <v>0</v>
      </c>
      <c r="Z6" s="237">
        <f>W6*100/K6</f>
        <v>-13.245049930857892</v>
      </c>
      <c r="AA6" s="34"/>
      <c r="AB6" s="34"/>
      <c r="AC6" s="34"/>
      <c r="AD6" s="34"/>
      <c r="AE6" s="35"/>
      <c r="AF6" s="34"/>
    </row>
    <row r="7" spans="1:32" s="36" customFormat="1" ht="18.75" customHeight="1">
      <c r="A7" s="55"/>
      <c r="B7" s="61" t="s">
        <v>135</v>
      </c>
      <c r="C7" s="218" t="s">
        <v>121</v>
      </c>
      <c r="D7" s="231">
        <v>6889347.0599999996</v>
      </c>
      <c r="E7" s="231">
        <v>2047408.96</v>
      </c>
      <c r="F7" s="231">
        <v>2592439.9720000001</v>
      </c>
      <c r="G7" s="231">
        <v>639372.33199999959</v>
      </c>
      <c r="H7" s="231">
        <f t="shared" si="0"/>
        <v>12168568.323999999</v>
      </c>
      <c r="I7" s="271">
        <v>8246</v>
      </c>
      <c r="J7" s="218" t="s">
        <v>92</v>
      </c>
      <c r="K7" s="232">
        <f t="shared" si="1"/>
        <v>1475.6934664079552</v>
      </c>
      <c r="L7" s="653" t="s">
        <v>135</v>
      </c>
      <c r="M7" s="233">
        <v>6825117.3160000071</v>
      </c>
      <c r="N7" s="233">
        <v>303483.48800000007</v>
      </c>
      <c r="O7" s="233">
        <v>2546967.5439999998</v>
      </c>
      <c r="P7" s="233">
        <v>674930.7840000001</v>
      </c>
      <c r="Q7" s="233">
        <f t="shared" ref="Q7:Q8" si="2">SUM(M7:P7)</f>
        <v>10350499.132000007</v>
      </c>
      <c r="R7" s="693">
        <v>8699</v>
      </c>
      <c r="S7" s="234" t="s">
        <v>92</v>
      </c>
      <c r="T7" s="235">
        <f t="shared" ref="T7:T9" si="3">+Q7/R7</f>
        <v>1189.8493081963452</v>
      </c>
      <c r="U7" s="231">
        <f t="shared" ref="U7:U9" si="4">Q7-H7</f>
        <v>-1818069.1919999924</v>
      </c>
      <c r="V7" s="231">
        <f t="shared" ref="V7:V9" si="5">R7-I7</f>
        <v>453</v>
      </c>
      <c r="W7" s="231">
        <f t="shared" ref="W7:W9" si="6">T7-K7</f>
        <v>-285.84415821160997</v>
      </c>
      <c r="X7" s="236">
        <f t="shared" ref="X7:X9" si="7">+U7/H7*100</f>
        <v>-14.94069921450188</v>
      </c>
      <c r="Y7" s="231">
        <f t="shared" ref="Y7:Y9" si="8">V7*100/I7</f>
        <v>5.4935726412806209</v>
      </c>
      <c r="Z7" s="237">
        <f t="shared" ref="Z7:Z9" si="9">W7*100/K7</f>
        <v>-19.370158147233298</v>
      </c>
      <c r="AA7" s="34"/>
      <c r="AB7" s="34"/>
      <c r="AC7" s="34"/>
      <c r="AD7" s="34"/>
      <c r="AE7" s="35"/>
      <c r="AF7" s="34"/>
    </row>
    <row r="8" spans="1:32" s="36" customFormat="1" ht="18.75" customHeight="1">
      <c r="A8" s="55"/>
      <c r="B8" s="61" t="s">
        <v>120</v>
      </c>
      <c r="C8" s="218" t="s">
        <v>121</v>
      </c>
      <c r="D8" s="231">
        <v>4988631.7920000087</v>
      </c>
      <c r="E8" s="231">
        <v>1535556.72</v>
      </c>
      <c r="F8" s="231">
        <v>1944329.9789999998</v>
      </c>
      <c r="G8" s="231">
        <v>479529.24899999966</v>
      </c>
      <c r="H8" s="231">
        <f t="shared" si="0"/>
        <v>8948047.7400000077</v>
      </c>
      <c r="I8" s="271">
        <v>21</v>
      </c>
      <c r="J8" s="218" t="s">
        <v>91</v>
      </c>
      <c r="K8" s="232">
        <f>H8/I8</f>
        <v>426097.51142857177</v>
      </c>
      <c r="L8" s="653" t="s">
        <v>120</v>
      </c>
      <c r="M8" s="233">
        <v>5118837.9870000053</v>
      </c>
      <c r="N8" s="233">
        <v>227612.61600000001</v>
      </c>
      <c r="O8" s="233">
        <v>1910225.6579999998</v>
      </c>
      <c r="P8" s="233">
        <v>506198.08799999999</v>
      </c>
      <c r="Q8" s="233">
        <f t="shared" si="2"/>
        <v>7762874.3490000051</v>
      </c>
      <c r="R8" s="234">
        <v>19</v>
      </c>
      <c r="S8" s="234" t="s">
        <v>91</v>
      </c>
      <c r="T8" s="235">
        <f t="shared" si="3"/>
        <v>408572.33415789501</v>
      </c>
      <c r="U8" s="231">
        <f t="shared" si="4"/>
        <v>-1185173.3910000026</v>
      </c>
      <c r="V8" s="231">
        <f t="shared" si="5"/>
        <v>-2</v>
      </c>
      <c r="W8" s="231">
        <f t="shared" si="6"/>
        <v>-17525.177270676766</v>
      </c>
      <c r="X8" s="236">
        <f t="shared" si="7"/>
        <v>-13.245049930857897</v>
      </c>
      <c r="Y8" s="231">
        <f t="shared" si="8"/>
        <v>-9.5238095238095237</v>
      </c>
      <c r="Z8" s="237">
        <f t="shared" si="9"/>
        <v>-4.1129499235797748</v>
      </c>
      <c r="AA8" s="34"/>
      <c r="AB8" s="34"/>
      <c r="AC8" s="34"/>
      <c r="AD8" s="34"/>
      <c r="AE8" s="35"/>
      <c r="AF8" s="34"/>
    </row>
    <row r="9" spans="1:32" s="36" customFormat="1" ht="33" customHeight="1">
      <c r="A9" s="55"/>
      <c r="B9" s="61" t="s">
        <v>241</v>
      </c>
      <c r="C9" s="219" t="s">
        <v>136</v>
      </c>
      <c r="D9" s="231">
        <v>82844714.329999983</v>
      </c>
      <c r="E9" s="231">
        <f>SUM(E10:E11)</f>
        <v>1596490.35</v>
      </c>
      <c r="F9" s="231">
        <v>5451136.1399999997</v>
      </c>
      <c r="G9" s="231">
        <v>2096883.6700000004</v>
      </c>
      <c r="H9" s="231">
        <f t="shared" si="0"/>
        <v>91989224.48999998</v>
      </c>
      <c r="I9" s="271">
        <v>937</v>
      </c>
      <c r="J9" s="218" t="s">
        <v>93</v>
      </c>
      <c r="K9" s="232">
        <f>H9/I9</f>
        <v>98174.199028815347</v>
      </c>
      <c r="L9" s="653" t="s">
        <v>241</v>
      </c>
      <c r="M9" s="233">
        <v>80033667.489999995</v>
      </c>
      <c r="N9" s="233">
        <v>1748565.53</v>
      </c>
      <c r="O9" s="233">
        <v>26767451.940000001</v>
      </c>
      <c r="P9" s="233">
        <v>2250568.0599999996</v>
      </c>
      <c r="Q9" s="233">
        <f>SUM(M9:P9)</f>
        <v>110800253.02</v>
      </c>
      <c r="R9" s="234">
        <v>706</v>
      </c>
      <c r="S9" s="234" t="s">
        <v>93</v>
      </c>
      <c r="T9" s="235">
        <f t="shared" si="3"/>
        <v>156940.86830028327</v>
      </c>
      <c r="U9" s="231">
        <f t="shared" si="4"/>
        <v>18811028.530000016</v>
      </c>
      <c r="V9" s="231">
        <f t="shared" si="5"/>
        <v>-231</v>
      </c>
      <c r="W9" s="231">
        <f t="shared" si="6"/>
        <v>58766.669271467923</v>
      </c>
      <c r="X9" s="698">
        <f t="shared" si="7"/>
        <v>20.449165252007244</v>
      </c>
      <c r="Y9" s="231">
        <f t="shared" si="8"/>
        <v>-24.65314834578442</v>
      </c>
      <c r="Z9" s="231">
        <f t="shared" si="9"/>
        <v>59.859586177239066</v>
      </c>
      <c r="AA9" s="34"/>
      <c r="AB9" s="34"/>
      <c r="AC9" s="34"/>
      <c r="AD9" s="34"/>
      <c r="AE9" s="35"/>
      <c r="AF9" s="34"/>
    </row>
    <row r="10" spans="1:32" s="36" customFormat="1" ht="69">
      <c r="A10" s="55"/>
      <c r="B10" s="59" t="s">
        <v>278</v>
      </c>
      <c r="C10" s="219" t="s">
        <v>136</v>
      </c>
      <c r="D10" s="231">
        <v>61856330.257999994</v>
      </c>
      <c r="E10" s="231">
        <v>1199999.3400000001</v>
      </c>
      <c r="F10" s="231">
        <v>4023248.0279999999</v>
      </c>
      <c r="G10" s="231">
        <v>1550346.3860000004</v>
      </c>
      <c r="H10" s="231">
        <f t="shared" si="0"/>
        <v>68629924.011999995</v>
      </c>
      <c r="I10" s="271">
        <v>718</v>
      </c>
      <c r="J10" s="218" t="s">
        <v>93</v>
      </c>
      <c r="K10" s="232">
        <f t="shared" si="1"/>
        <v>95584.852384401107</v>
      </c>
      <c r="L10" s="208" t="s">
        <v>260</v>
      </c>
      <c r="M10" s="681" t="s">
        <v>260</v>
      </c>
      <c r="N10" s="681" t="s">
        <v>260</v>
      </c>
      <c r="O10" s="681" t="s">
        <v>260</v>
      </c>
      <c r="P10" s="681" t="s">
        <v>260</v>
      </c>
      <c r="Q10" s="681" t="s">
        <v>260</v>
      </c>
      <c r="R10" s="492" t="s">
        <v>260</v>
      </c>
      <c r="S10" s="682" t="s">
        <v>260</v>
      </c>
      <c r="T10" s="683" t="s">
        <v>260</v>
      </c>
      <c r="U10" s="676" t="s">
        <v>260</v>
      </c>
      <c r="V10" s="676" t="s">
        <v>260</v>
      </c>
      <c r="W10" s="676" t="s">
        <v>260</v>
      </c>
      <c r="X10" s="684" t="s">
        <v>260</v>
      </c>
      <c r="Y10" s="685" t="s">
        <v>260</v>
      </c>
      <c r="Z10" s="685" t="s">
        <v>260</v>
      </c>
      <c r="AA10" s="34"/>
      <c r="AB10" s="34"/>
      <c r="AC10" s="34"/>
      <c r="AD10" s="34"/>
      <c r="AE10" s="35"/>
      <c r="AF10" s="34"/>
    </row>
    <row r="11" spans="1:32" s="36" customFormat="1" ht="34.5">
      <c r="A11" s="55"/>
      <c r="B11" s="58" t="s">
        <v>301</v>
      </c>
      <c r="C11" s="219" t="s">
        <v>136</v>
      </c>
      <c r="D11" s="231">
        <v>20988384.071999997</v>
      </c>
      <c r="E11" s="231">
        <v>396491.01</v>
      </c>
      <c r="F11" s="231">
        <v>1427888.112</v>
      </c>
      <c r="G11" s="231">
        <v>546537.2840000001</v>
      </c>
      <c r="H11" s="231">
        <f t="shared" si="0"/>
        <v>23359300.478</v>
      </c>
      <c r="I11" s="271">
        <v>219</v>
      </c>
      <c r="J11" s="218" t="s">
        <v>93</v>
      </c>
      <c r="K11" s="232">
        <f t="shared" si="1"/>
        <v>106663.47250228311</v>
      </c>
      <c r="L11" s="686" t="s">
        <v>260</v>
      </c>
      <c r="M11" s="287" t="s">
        <v>260</v>
      </c>
      <c r="N11" s="287" t="s">
        <v>260</v>
      </c>
      <c r="O11" s="287" t="s">
        <v>260</v>
      </c>
      <c r="P11" s="287" t="s">
        <v>260</v>
      </c>
      <c r="Q11" s="287" t="s">
        <v>260</v>
      </c>
      <c r="R11" s="690" t="s">
        <v>260</v>
      </c>
      <c r="S11" s="672" t="s">
        <v>260</v>
      </c>
      <c r="T11" s="673" t="s">
        <v>260</v>
      </c>
      <c r="U11" s="675" t="s">
        <v>260</v>
      </c>
      <c r="V11" s="675" t="s">
        <v>260</v>
      </c>
      <c r="W11" s="675" t="s">
        <v>260</v>
      </c>
      <c r="X11" s="674" t="s">
        <v>260</v>
      </c>
      <c r="Y11" s="675" t="s">
        <v>260</v>
      </c>
      <c r="Z11" s="675" t="s">
        <v>260</v>
      </c>
      <c r="AA11" s="34"/>
      <c r="AB11" s="34"/>
      <c r="AC11" s="34"/>
      <c r="AD11" s="34"/>
      <c r="AE11" s="35"/>
      <c r="AF11" s="34"/>
    </row>
    <row r="12" spans="1:32" s="39" customFormat="1" ht="34.5">
      <c r="A12" s="55"/>
      <c r="B12" s="59" t="s">
        <v>242</v>
      </c>
      <c r="C12" s="219" t="s">
        <v>119</v>
      </c>
      <c r="D12" s="238">
        <v>2231852.19</v>
      </c>
      <c r="E12" s="238">
        <v>58947.33</v>
      </c>
      <c r="F12" s="238">
        <v>173228.91</v>
      </c>
      <c r="G12" s="238">
        <v>92969.75</v>
      </c>
      <c r="H12" s="231">
        <f t="shared" si="0"/>
        <v>2556998.1800000002</v>
      </c>
      <c r="I12" s="271">
        <v>6</v>
      </c>
      <c r="J12" s="222" t="s">
        <v>94</v>
      </c>
      <c r="K12" s="232">
        <f t="shared" si="1"/>
        <v>426166.36333333334</v>
      </c>
      <c r="L12" s="654" t="s">
        <v>242</v>
      </c>
      <c r="M12" s="233">
        <v>3181631.8999999994</v>
      </c>
      <c r="N12" s="233">
        <v>90602.4</v>
      </c>
      <c r="O12" s="233">
        <v>584646.51</v>
      </c>
      <c r="P12" s="233">
        <v>103575.97</v>
      </c>
      <c r="Q12" s="233">
        <f>SUM(M12:P12)</f>
        <v>3960456.78</v>
      </c>
      <c r="R12" s="692">
        <v>7</v>
      </c>
      <c r="S12" s="223" t="s">
        <v>94</v>
      </c>
      <c r="T12" s="235">
        <f t="shared" ref="T12:T14" si="10">+Q12/R12</f>
        <v>565779.53999999992</v>
      </c>
      <c r="U12" s="231">
        <f t="shared" ref="U12:U15" si="11">Q12-H12</f>
        <v>1403458.5999999996</v>
      </c>
      <c r="V12" s="231">
        <f t="shared" ref="V12:V15" si="12">R12-I12</f>
        <v>1</v>
      </c>
      <c r="W12" s="231">
        <f t="shared" ref="W12:W15" si="13">T12-K12</f>
        <v>139613.17666666658</v>
      </c>
      <c r="X12" s="236">
        <f t="shared" ref="X12:X15" si="14">+U12/H12*100</f>
        <v>54.886961241403768</v>
      </c>
      <c r="Y12" s="231">
        <f t="shared" ref="Y12:Y15" si="15">V12*100/I12</f>
        <v>16.666666666666668</v>
      </c>
      <c r="Z12" s="237">
        <f t="shared" ref="Z12:Z15" si="16">W12*100/K12</f>
        <v>32.760252492631793</v>
      </c>
      <c r="AA12" s="34"/>
      <c r="AB12" s="37"/>
      <c r="AC12" s="37"/>
      <c r="AD12" s="37"/>
      <c r="AE12" s="38"/>
      <c r="AF12" s="37"/>
    </row>
    <row r="13" spans="1:32" s="36" customFormat="1" ht="51.75">
      <c r="A13" s="55"/>
      <c r="B13" s="59" t="s">
        <v>243</v>
      </c>
      <c r="C13" s="219" t="s">
        <v>117</v>
      </c>
      <c r="D13" s="231">
        <v>7229577.8099999977</v>
      </c>
      <c r="E13" s="231">
        <v>1847806.95</v>
      </c>
      <c r="F13" s="231">
        <v>497359.68</v>
      </c>
      <c r="G13" s="231">
        <v>91355.04</v>
      </c>
      <c r="H13" s="231">
        <f t="shared" si="0"/>
        <v>9666099.4799999967</v>
      </c>
      <c r="I13" s="271">
        <v>78</v>
      </c>
      <c r="J13" s="219" t="s">
        <v>118</v>
      </c>
      <c r="K13" s="232">
        <f t="shared" si="1"/>
        <v>123924.35230769227</v>
      </c>
      <c r="L13" s="654" t="s">
        <v>243</v>
      </c>
      <c r="M13" s="233">
        <v>9399950.2699999996</v>
      </c>
      <c r="N13" s="233">
        <v>337964.65</v>
      </c>
      <c r="O13" s="233">
        <v>1198432.5900000001</v>
      </c>
      <c r="P13" s="233">
        <v>118472.43000000001</v>
      </c>
      <c r="Q13" s="233">
        <f t="shared" ref="Q13" si="17">SUM(M13:P13)</f>
        <v>11054819.939999999</v>
      </c>
      <c r="R13" s="234">
        <v>77</v>
      </c>
      <c r="S13" s="220" t="s">
        <v>118</v>
      </c>
      <c r="T13" s="235">
        <f t="shared" si="10"/>
        <v>143569.09012987014</v>
      </c>
      <c r="U13" s="231">
        <f t="shared" si="11"/>
        <v>1388720.4600000028</v>
      </c>
      <c r="V13" s="231">
        <f t="shared" si="12"/>
        <v>-1</v>
      </c>
      <c r="W13" s="231">
        <f t="shared" si="13"/>
        <v>19644.737822177864</v>
      </c>
      <c r="X13" s="236">
        <f t="shared" si="14"/>
        <v>14.36691669554391</v>
      </c>
      <c r="Y13" s="231">
        <f t="shared" si="15"/>
        <v>-1.2820512820512822</v>
      </c>
      <c r="Z13" s="237">
        <f t="shared" si="16"/>
        <v>15.852201327953578</v>
      </c>
      <c r="AA13" s="34"/>
      <c r="AB13" s="34"/>
      <c r="AC13" s="34"/>
      <c r="AD13" s="34"/>
      <c r="AE13" s="35"/>
      <c r="AF13" s="34"/>
    </row>
    <row r="14" spans="1:32" s="36" customFormat="1" ht="34.5">
      <c r="A14" s="55"/>
      <c r="B14" s="59" t="s">
        <v>244</v>
      </c>
      <c r="C14" s="219" t="s">
        <v>123</v>
      </c>
      <c r="D14" s="231">
        <v>17691334.710000001</v>
      </c>
      <c r="E14" s="231">
        <v>368420.85</v>
      </c>
      <c r="F14" s="231">
        <v>1052090.46</v>
      </c>
      <c r="G14" s="231">
        <v>579728.69999999995</v>
      </c>
      <c r="H14" s="231">
        <f t="shared" si="0"/>
        <v>19691574.720000003</v>
      </c>
      <c r="I14" s="271">
        <v>16</v>
      </c>
      <c r="J14" s="219" t="s">
        <v>118</v>
      </c>
      <c r="K14" s="232">
        <f t="shared" si="1"/>
        <v>1230723.4200000002</v>
      </c>
      <c r="L14" s="654" t="s">
        <v>244</v>
      </c>
      <c r="M14" s="233">
        <v>17052809.550000004</v>
      </c>
      <c r="N14" s="233">
        <v>585183.97</v>
      </c>
      <c r="O14" s="233">
        <v>5786910.2100000009</v>
      </c>
      <c r="P14" s="233">
        <v>723414.69999999984</v>
      </c>
      <c r="Q14" s="233">
        <f>SUM(M14:P14)</f>
        <v>24148318.430000003</v>
      </c>
      <c r="R14" s="234">
        <v>17</v>
      </c>
      <c r="S14" s="220" t="s">
        <v>124</v>
      </c>
      <c r="T14" s="235">
        <f t="shared" si="10"/>
        <v>1420489.3194117649</v>
      </c>
      <c r="U14" s="231">
        <f t="shared" si="11"/>
        <v>4456743.7100000009</v>
      </c>
      <c r="V14" s="231">
        <f t="shared" si="12"/>
        <v>1</v>
      </c>
      <c r="W14" s="231">
        <f t="shared" si="13"/>
        <v>189765.89941176469</v>
      </c>
      <c r="X14" s="236">
        <f t="shared" si="14"/>
        <v>22.632744071369018</v>
      </c>
      <c r="Y14" s="231">
        <f t="shared" si="15"/>
        <v>6.25</v>
      </c>
      <c r="Z14" s="237">
        <f t="shared" si="16"/>
        <v>15.419053243641425</v>
      </c>
      <c r="AA14" s="34"/>
      <c r="AB14" s="34"/>
      <c r="AC14" s="34"/>
      <c r="AD14" s="34"/>
      <c r="AE14" s="35"/>
      <c r="AF14" s="34"/>
    </row>
    <row r="15" spans="1:32" s="36" customFormat="1" ht="120.75">
      <c r="A15" s="661"/>
      <c r="B15" s="670" t="s">
        <v>259</v>
      </c>
      <c r="C15" s="219" t="s">
        <v>126</v>
      </c>
      <c r="D15" s="662">
        <f>SUM(D16:D17)</f>
        <v>39950117.090000048</v>
      </c>
      <c r="E15" s="662">
        <f>SUM(E16:E17)</f>
        <v>842104.8</v>
      </c>
      <c r="F15" s="662">
        <f>SUM(F16:F17)</f>
        <v>2774794.94</v>
      </c>
      <c r="G15" s="662">
        <f t="shared" ref="G15" si="18">SUM(G16:G17)</f>
        <v>759588.01</v>
      </c>
      <c r="H15" s="662">
        <f t="shared" si="0"/>
        <v>44326604.840000041</v>
      </c>
      <c r="I15" s="663">
        <v>538</v>
      </c>
      <c r="J15" s="666" t="s">
        <v>118</v>
      </c>
      <c r="K15" s="742">
        <f>H15/I15</f>
        <v>82391.458810408993</v>
      </c>
      <c r="L15" s="671" t="s">
        <v>259</v>
      </c>
      <c r="M15" s="664">
        <v>31684893.499999996</v>
      </c>
      <c r="N15" s="664">
        <v>576085.01</v>
      </c>
      <c r="O15" s="664">
        <v>8423006.6899999995</v>
      </c>
      <c r="P15" s="664">
        <v>3405688.85</v>
      </c>
      <c r="Q15" s="664">
        <f>SUM(M15:P15)</f>
        <v>44089674.049999997</v>
      </c>
      <c r="R15" s="665">
        <v>552</v>
      </c>
      <c r="S15" s="666" t="s">
        <v>118</v>
      </c>
      <c r="T15" s="667">
        <f>+Q15/R15</f>
        <v>79872.597916666666</v>
      </c>
      <c r="U15" s="662">
        <f t="shared" si="11"/>
        <v>-236930.79000004381</v>
      </c>
      <c r="V15" s="662">
        <f t="shared" si="12"/>
        <v>14</v>
      </c>
      <c r="W15" s="662">
        <f t="shared" si="13"/>
        <v>-2518.8608937423269</v>
      </c>
      <c r="X15" s="668">
        <f t="shared" si="14"/>
        <v>-0.53451147647166297</v>
      </c>
      <c r="Y15" s="662">
        <f t="shared" si="15"/>
        <v>2.6022304832713754</v>
      </c>
      <c r="Z15" s="669">
        <f t="shared" si="16"/>
        <v>-3.0571869100393991</v>
      </c>
      <c r="AA15" s="34"/>
      <c r="AB15" s="34"/>
      <c r="AC15" s="34"/>
      <c r="AD15" s="34"/>
      <c r="AE15" s="35"/>
      <c r="AF15" s="34"/>
    </row>
    <row r="16" spans="1:32" s="40" customFormat="1" ht="123.75" customHeight="1">
      <c r="A16" s="467"/>
      <c r="B16" s="880" t="s">
        <v>279</v>
      </c>
      <c r="C16" s="224" t="s">
        <v>126</v>
      </c>
      <c r="D16" s="881">
        <v>21619043.830000043</v>
      </c>
      <c r="E16" s="882">
        <v>614034.75</v>
      </c>
      <c r="F16" s="881">
        <v>1826866.8099999998</v>
      </c>
      <c r="G16" s="881">
        <v>446438.75</v>
      </c>
      <c r="H16" s="239">
        <f t="shared" si="0"/>
        <v>24506384.140000042</v>
      </c>
      <c r="I16" s="272">
        <v>164</v>
      </c>
      <c r="J16" s="224" t="s">
        <v>118</v>
      </c>
      <c r="K16" s="746">
        <f t="shared" si="1"/>
        <v>149429.1715853661</v>
      </c>
      <c r="L16" s="883" t="s">
        <v>260</v>
      </c>
      <c r="M16" s="695" t="s">
        <v>260</v>
      </c>
      <c r="N16" s="695" t="s">
        <v>260</v>
      </c>
      <c r="O16" s="695" t="s">
        <v>260</v>
      </c>
      <c r="P16" s="695" t="s">
        <v>260</v>
      </c>
      <c r="Q16" s="695" t="s">
        <v>260</v>
      </c>
      <c r="R16" s="695" t="s">
        <v>260</v>
      </c>
      <c r="S16" s="883" t="s">
        <v>260</v>
      </c>
      <c r="T16" s="695" t="s">
        <v>260</v>
      </c>
      <c r="U16" s="884" t="s">
        <v>260</v>
      </c>
      <c r="V16" s="884" t="s">
        <v>260</v>
      </c>
      <c r="W16" s="884" t="s">
        <v>260</v>
      </c>
      <c r="X16" s="884" t="s">
        <v>260</v>
      </c>
      <c r="Y16" s="884" t="s">
        <v>260</v>
      </c>
      <c r="Z16" s="884" t="s">
        <v>260</v>
      </c>
      <c r="AA16" s="34"/>
      <c r="AB16" s="37"/>
      <c r="AC16" s="37"/>
      <c r="AD16" s="37"/>
      <c r="AE16" s="38"/>
      <c r="AF16" s="37"/>
    </row>
    <row r="17" spans="1:32" s="40" customFormat="1" ht="120.75">
      <c r="A17" s="288"/>
      <c r="B17" s="289" t="s">
        <v>280</v>
      </c>
      <c r="C17" s="284" t="s">
        <v>126</v>
      </c>
      <c r="D17" s="285">
        <v>18331073.260000002</v>
      </c>
      <c r="E17" s="285">
        <v>228070.05</v>
      </c>
      <c r="F17" s="285">
        <v>947928.13</v>
      </c>
      <c r="G17" s="285">
        <v>313149.26</v>
      </c>
      <c r="H17" s="285">
        <f t="shared" si="0"/>
        <v>19820220.700000003</v>
      </c>
      <c r="I17" s="286">
        <v>374</v>
      </c>
      <c r="J17" s="284" t="s">
        <v>118</v>
      </c>
      <c r="K17" s="743">
        <f t="shared" si="1"/>
        <v>52995.24251336899</v>
      </c>
      <c r="L17" s="677" t="s">
        <v>260</v>
      </c>
      <c r="M17" s="678" t="s">
        <v>260</v>
      </c>
      <c r="N17" s="678" t="s">
        <v>260</v>
      </c>
      <c r="O17" s="678" t="s">
        <v>260</v>
      </c>
      <c r="P17" s="678" t="s">
        <v>260</v>
      </c>
      <c r="Q17" s="678" t="s">
        <v>260</v>
      </c>
      <c r="R17" s="678" t="s">
        <v>260</v>
      </c>
      <c r="S17" s="679" t="s">
        <v>260</v>
      </c>
      <c r="T17" s="678" t="s">
        <v>260</v>
      </c>
      <c r="U17" s="680" t="s">
        <v>260</v>
      </c>
      <c r="V17" s="680" t="s">
        <v>260</v>
      </c>
      <c r="W17" s="680" t="s">
        <v>260</v>
      </c>
      <c r="X17" s="680" t="s">
        <v>260</v>
      </c>
      <c r="Y17" s="680" t="s">
        <v>260</v>
      </c>
      <c r="Z17" s="680" t="s">
        <v>260</v>
      </c>
      <c r="AA17" s="34"/>
      <c r="AB17" s="37"/>
      <c r="AC17" s="37"/>
      <c r="AD17" s="37"/>
      <c r="AE17" s="38"/>
      <c r="AF17" s="37"/>
    </row>
    <row r="18" spans="1:32" s="28" customFormat="1" ht="120.75">
      <c r="A18" s="55"/>
      <c r="B18" s="59" t="s">
        <v>192</v>
      </c>
      <c r="C18" s="219" t="s">
        <v>125</v>
      </c>
      <c r="D18" s="231">
        <v>18617319.370000001</v>
      </c>
      <c r="E18" s="231">
        <v>413460.33</v>
      </c>
      <c r="F18" s="231">
        <v>947928.13</v>
      </c>
      <c r="G18" s="231">
        <v>313149.25</v>
      </c>
      <c r="H18" s="231">
        <f t="shared" si="0"/>
        <v>20291857.079999998</v>
      </c>
      <c r="I18" s="271">
        <v>628</v>
      </c>
      <c r="J18" s="220" t="s">
        <v>124</v>
      </c>
      <c r="K18" s="232">
        <f t="shared" si="1"/>
        <v>32311.874331210187</v>
      </c>
      <c r="L18" s="654" t="s">
        <v>192</v>
      </c>
      <c r="M18" s="233">
        <v>24127551.729999959</v>
      </c>
      <c r="N18" s="233">
        <v>773099.27999999991</v>
      </c>
      <c r="O18" s="233">
        <v>7463495.9100000001</v>
      </c>
      <c r="P18" s="233">
        <v>545838.30999999994</v>
      </c>
      <c r="Q18" s="233">
        <f t="shared" ref="Q18:Q19" si="19">SUM(M18:P18)</f>
        <v>32909985.229999959</v>
      </c>
      <c r="R18" s="234">
        <v>644</v>
      </c>
      <c r="S18" s="220" t="s">
        <v>124</v>
      </c>
      <c r="T18" s="235">
        <f t="shared" ref="T18:T33" si="20">+Q18/R18</f>
        <v>51102.461537267016</v>
      </c>
      <c r="U18" s="231">
        <f t="shared" ref="U18:U19" si="21">Q18-H18</f>
        <v>12618128.149999961</v>
      </c>
      <c r="V18" s="231">
        <f t="shared" ref="V18:V33" si="22">R18-I18</f>
        <v>16</v>
      </c>
      <c r="W18" s="231">
        <f t="shared" ref="W18:W33" si="23">T18-K18</f>
        <v>18790.587206056829</v>
      </c>
      <c r="X18" s="236">
        <f t="shared" ref="X18:X33" si="24">+U18/H18*100</f>
        <v>62.183210241691498</v>
      </c>
      <c r="Y18" s="231">
        <f t="shared" ref="Y18:Y33" si="25">V18*100/I18</f>
        <v>2.5477707006369426</v>
      </c>
      <c r="Z18" s="237">
        <f t="shared" ref="Z18:Z33" si="26">W18*100/K18</f>
        <v>58.153813713947613</v>
      </c>
      <c r="AA18" s="34"/>
      <c r="AB18" s="34"/>
      <c r="AC18" s="34"/>
      <c r="AD18" s="34"/>
      <c r="AE18" s="35"/>
      <c r="AF18" s="34"/>
    </row>
    <row r="19" spans="1:32" s="36" customFormat="1" ht="34.5">
      <c r="A19" s="468"/>
      <c r="B19" s="469" t="s">
        <v>247</v>
      </c>
      <c r="C19" s="470" t="s">
        <v>122</v>
      </c>
      <c r="D19" s="471">
        <v>14831394.24</v>
      </c>
      <c r="E19" s="472">
        <v>135087.65</v>
      </c>
      <c r="F19" s="472">
        <v>426719.19</v>
      </c>
      <c r="G19" s="472">
        <v>7447813.6799999997</v>
      </c>
      <c r="H19" s="472">
        <f t="shared" si="0"/>
        <v>22841014.759999998</v>
      </c>
      <c r="I19" s="473">
        <v>3</v>
      </c>
      <c r="J19" s="474" t="s">
        <v>97</v>
      </c>
      <c r="K19" s="744">
        <f t="shared" si="1"/>
        <v>7613671.586666666</v>
      </c>
      <c r="L19" s="656" t="s">
        <v>247</v>
      </c>
      <c r="M19" s="475">
        <v>18374459.649999999</v>
      </c>
      <c r="N19" s="475">
        <v>1096697.4099999999</v>
      </c>
      <c r="O19" s="475">
        <v>2815552.69</v>
      </c>
      <c r="P19" s="475">
        <v>12037253.810000001</v>
      </c>
      <c r="Q19" s="475">
        <f t="shared" si="19"/>
        <v>34323963.560000002</v>
      </c>
      <c r="R19" s="476">
        <v>3</v>
      </c>
      <c r="S19" s="477" t="s">
        <v>97</v>
      </c>
      <c r="T19" s="478">
        <f t="shared" si="20"/>
        <v>11441321.186666667</v>
      </c>
      <c r="U19" s="472">
        <f t="shared" si="21"/>
        <v>11482948.800000004</v>
      </c>
      <c r="V19" s="472">
        <f t="shared" si="22"/>
        <v>0</v>
      </c>
      <c r="W19" s="472">
        <f t="shared" si="23"/>
        <v>3827649.6000000015</v>
      </c>
      <c r="X19" s="479">
        <f t="shared" si="24"/>
        <v>50.273374106431355</v>
      </c>
      <c r="Y19" s="472">
        <f t="shared" si="25"/>
        <v>0</v>
      </c>
      <c r="Z19" s="480">
        <f t="shared" si="26"/>
        <v>50.273374106431355</v>
      </c>
      <c r="AA19" s="34"/>
      <c r="AB19" s="34"/>
      <c r="AC19" s="34"/>
      <c r="AD19" s="34"/>
      <c r="AE19" s="35"/>
      <c r="AF19" s="34"/>
    </row>
    <row r="20" spans="1:32" s="43" customFormat="1" ht="30" customHeight="1">
      <c r="A20" s="53" t="s">
        <v>83</v>
      </c>
      <c r="B20" s="54"/>
      <c r="C20" s="226"/>
      <c r="D20" s="245"/>
      <c r="E20" s="245"/>
      <c r="F20" s="245"/>
      <c r="G20" s="245"/>
      <c r="H20" s="245">
        <f t="shared" ref="H20:H32" si="27">SUM(D20:G20)</f>
        <v>0</v>
      </c>
      <c r="I20" s="273"/>
      <c r="J20" s="208"/>
      <c r="K20" s="745"/>
      <c r="L20" s="54"/>
      <c r="M20" s="244"/>
      <c r="N20" s="245"/>
      <c r="O20" s="245"/>
      <c r="P20" s="245"/>
      <c r="Q20" s="245"/>
      <c r="R20" s="685"/>
      <c r="S20" s="227"/>
      <c r="T20" s="230"/>
      <c r="U20" s="245"/>
      <c r="V20" s="245"/>
      <c r="W20" s="245"/>
      <c r="X20" s="246"/>
      <c r="Y20" s="245"/>
      <c r="Z20" s="247"/>
      <c r="AA20" s="32"/>
      <c r="AB20" s="41"/>
      <c r="AC20" s="41"/>
      <c r="AD20" s="41"/>
      <c r="AE20" s="42"/>
      <c r="AF20" s="41"/>
    </row>
    <row r="21" spans="1:32" s="28" customFormat="1" ht="17.25" customHeight="1">
      <c r="A21" s="55"/>
      <c r="B21" s="56" t="s">
        <v>248</v>
      </c>
      <c r="C21" s="218" t="s">
        <v>119</v>
      </c>
      <c r="D21" s="231">
        <v>7088912.1100000003</v>
      </c>
      <c r="E21" s="231">
        <v>180526.22</v>
      </c>
      <c r="F21" s="231">
        <v>488054.77</v>
      </c>
      <c r="G21" s="231">
        <v>284719.88</v>
      </c>
      <c r="H21" s="231">
        <f t="shared" si="27"/>
        <v>8042212.9799999995</v>
      </c>
      <c r="I21" s="271">
        <v>1</v>
      </c>
      <c r="J21" s="218" t="s">
        <v>95</v>
      </c>
      <c r="K21" s="232">
        <f t="shared" ref="K21:K33" si="28">H21/I21</f>
        <v>8042212.9799999995</v>
      </c>
      <c r="L21" s="652" t="s">
        <v>248</v>
      </c>
      <c r="M21" s="233">
        <v>7897275</v>
      </c>
      <c r="N21" s="233">
        <v>328433.68</v>
      </c>
      <c r="O21" s="233">
        <v>1996613.75</v>
      </c>
      <c r="P21" s="233">
        <v>375462.9</v>
      </c>
      <c r="Q21" s="233">
        <f t="shared" ref="Q21:Q23" si="29">SUM(M21:P21)</f>
        <v>10597785.33</v>
      </c>
      <c r="R21" s="694">
        <v>1</v>
      </c>
      <c r="S21" s="220" t="s">
        <v>95</v>
      </c>
      <c r="T21" s="235">
        <f t="shared" si="20"/>
        <v>10597785.33</v>
      </c>
      <c r="U21" s="231">
        <f t="shared" ref="U21:U33" si="30">Q21-H21</f>
        <v>2555572.3500000006</v>
      </c>
      <c r="V21" s="231">
        <f t="shared" si="22"/>
        <v>0</v>
      </c>
      <c r="W21" s="231">
        <f t="shared" si="23"/>
        <v>2555572.3500000006</v>
      </c>
      <c r="X21" s="236">
        <f t="shared" si="24"/>
        <v>31.776979251300563</v>
      </c>
      <c r="Y21" s="231">
        <f t="shared" si="25"/>
        <v>0</v>
      </c>
      <c r="Z21" s="237">
        <f t="shared" si="26"/>
        <v>31.776979251300563</v>
      </c>
      <c r="AA21" s="34"/>
      <c r="AB21" s="44"/>
      <c r="AC21" s="44"/>
      <c r="AD21" s="44"/>
    </row>
    <row r="22" spans="1:32" s="28" customFormat="1" ht="35.25" customHeight="1">
      <c r="A22" s="57"/>
      <c r="B22" s="58" t="s">
        <v>249</v>
      </c>
      <c r="C22" s="218" t="s">
        <v>119</v>
      </c>
      <c r="D22" s="231">
        <v>7308549.2699999996</v>
      </c>
      <c r="E22" s="231">
        <v>128947.3</v>
      </c>
      <c r="F22" s="231">
        <v>3019497.4</v>
      </c>
      <c r="G22" s="231">
        <v>203371.34</v>
      </c>
      <c r="H22" s="231">
        <f t="shared" si="27"/>
        <v>10660365.309999999</v>
      </c>
      <c r="I22" s="271">
        <v>28376</v>
      </c>
      <c r="J22" s="223" t="s">
        <v>96</v>
      </c>
      <c r="K22" s="232">
        <f t="shared" si="28"/>
        <v>375.68245383422607</v>
      </c>
      <c r="L22" s="655" t="s">
        <v>249</v>
      </c>
      <c r="M22" s="233">
        <v>8183514.7599999998</v>
      </c>
      <c r="N22" s="233">
        <v>1588641.03</v>
      </c>
      <c r="O22" s="233">
        <v>1186833.08</v>
      </c>
      <c r="P22" s="233">
        <v>168310.96</v>
      </c>
      <c r="Q22" s="233">
        <f t="shared" si="29"/>
        <v>11127299.83</v>
      </c>
      <c r="R22" s="694" t="s">
        <v>265</v>
      </c>
      <c r="S22" s="223" t="s">
        <v>96</v>
      </c>
      <c r="T22" s="235">
        <f t="shared" si="20"/>
        <v>382.69706390149952</v>
      </c>
      <c r="U22" s="231">
        <f t="shared" si="30"/>
        <v>466934.52000000142</v>
      </c>
      <c r="V22" s="231">
        <f t="shared" si="22"/>
        <v>700</v>
      </c>
      <c r="W22" s="231">
        <f t="shared" si="23"/>
        <v>7.0146100672734519</v>
      </c>
      <c r="X22" s="236">
        <f t="shared" si="24"/>
        <v>4.3800986778754343</v>
      </c>
      <c r="Y22" s="231">
        <f t="shared" si="25"/>
        <v>2.466873414152805</v>
      </c>
      <c r="Z22" s="237">
        <f t="shared" si="26"/>
        <v>1.8671646747624588</v>
      </c>
      <c r="AA22" s="34"/>
      <c r="AB22" s="44"/>
      <c r="AC22" s="44"/>
      <c r="AD22" s="44"/>
    </row>
    <row r="23" spans="1:32" s="28" customFormat="1" ht="34.5">
      <c r="A23" s="55"/>
      <c r="B23" s="58" t="s">
        <v>250</v>
      </c>
      <c r="C23" s="218" t="s">
        <v>133</v>
      </c>
      <c r="D23" s="231">
        <v>21406078.250000007</v>
      </c>
      <c r="E23" s="231">
        <v>263157.75</v>
      </c>
      <c r="F23" s="231">
        <v>755062.87999999989</v>
      </c>
      <c r="G23" s="231">
        <v>207441.71</v>
      </c>
      <c r="H23" s="231">
        <f t="shared" si="27"/>
        <v>22631740.590000007</v>
      </c>
      <c r="I23" s="271">
        <v>38</v>
      </c>
      <c r="J23" s="221" t="s">
        <v>93</v>
      </c>
      <c r="K23" s="232">
        <f t="shared" si="28"/>
        <v>595572.12078947388</v>
      </c>
      <c r="L23" s="655" t="s">
        <v>250</v>
      </c>
      <c r="M23" s="233">
        <v>20044795.210000001</v>
      </c>
      <c r="N23" s="233">
        <v>293905.12</v>
      </c>
      <c r="O23" s="233">
        <v>3499347.63</v>
      </c>
      <c r="P23" s="233">
        <v>265791.61</v>
      </c>
      <c r="Q23" s="233">
        <f t="shared" si="29"/>
        <v>24103839.57</v>
      </c>
      <c r="R23" s="694">
        <v>37</v>
      </c>
      <c r="S23" s="220" t="s">
        <v>118</v>
      </c>
      <c r="T23" s="235">
        <f t="shared" si="20"/>
        <v>651455.12351351348</v>
      </c>
      <c r="U23" s="231">
        <f t="shared" si="30"/>
        <v>1472098.979999993</v>
      </c>
      <c r="V23" s="231">
        <f t="shared" si="22"/>
        <v>-1</v>
      </c>
      <c r="W23" s="231">
        <f t="shared" si="23"/>
        <v>55883.002724039601</v>
      </c>
      <c r="X23" s="236">
        <f t="shared" si="24"/>
        <v>6.5045769420424087</v>
      </c>
      <c r="Y23" s="231">
        <f t="shared" si="25"/>
        <v>-2.6315789473684212</v>
      </c>
      <c r="Z23" s="237">
        <f t="shared" si="26"/>
        <v>9.3830790215570605</v>
      </c>
      <c r="AA23" s="34"/>
      <c r="AB23" s="44"/>
      <c r="AC23" s="44"/>
      <c r="AD23" s="44"/>
    </row>
    <row r="24" spans="1:32" s="28" customFormat="1" ht="34.5">
      <c r="A24" s="62"/>
      <c r="B24" s="487" t="s">
        <v>251</v>
      </c>
      <c r="C24" s="224" t="s">
        <v>122</v>
      </c>
      <c r="D24" s="239">
        <v>2511512.1</v>
      </c>
      <c r="E24" s="239">
        <v>19298.240000000002</v>
      </c>
      <c r="F24" s="239">
        <v>60959.88</v>
      </c>
      <c r="G24" s="239">
        <v>76263.42</v>
      </c>
      <c r="H24" s="239">
        <f t="shared" si="27"/>
        <v>2668033.64</v>
      </c>
      <c r="I24" s="272">
        <v>1</v>
      </c>
      <c r="J24" s="488" t="s">
        <v>97</v>
      </c>
      <c r="K24" s="746">
        <f t="shared" si="28"/>
        <v>2668033.64</v>
      </c>
      <c r="L24" s="657" t="s">
        <v>251</v>
      </c>
      <c r="M24" s="240">
        <v>4426221.68</v>
      </c>
      <c r="N24" s="240">
        <v>0</v>
      </c>
      <c r="O24" s="240">
        <v>0</v>
      </c>
      <c r="P24" s="240">
        <v>0</v>
      </c>
      <c r="Q24" s="240">
        <f>SUM(M24:P24)</f>
        <v>4426221.68</v>
      </c>
      <c r="R24" s="695">
        <v>1</v>
      </c>
      <c r="S24" s="225" t="s">
        <v>97</v>
      </c>
      <c r="T24" s="241">
        <f t="shared" si="20"/>
        <v>4426221.68</v>
      </c>
      <c r="U24" s="239">
        <f t="shared" si="30"/>
        <v>1758188.0399999996</v>
      </c>
      <c r="V24" s="239">
        <f t="shared" si="22"/>
        <v>0</v>
      </c>
      <c r="W24" s="239">
        <f t="shared" si="23"/>
        <v>1758188.0399999996</v>
      </c>
      <c r="X24" s="242">
        <f t="shared" si="24"/>
        <v>65.898271057781699</v>
      </c>
      <c r="Y24" s="239">
        <f t="shared" si="25"/>
        <v>0</v>
      </c>
      <c r="Z24" s="243">
        <f t="shared" si="26"/>
        <v>65.898271057781699</v>
      </c>
      <c r="AA24" s="34"/>
      <c r="AB24" s="44"/>
      <c r="AC24" s="44"/>
      <c r="AD24" s="44"/>
    </row>
    <row r="25" spans="1:32" s="28" customFormat="1" ht="40.5" customHeight="1">
      <c r="A25" s="290"/>
      <c r="B25" s="489" t="s">
        <v>252</v>
      </c>
      <c r="C25" s="490" t="s">
        <v>122</v>
      </c>
      <c r="D25" s="245">
        <v>8883891.7799999993</v>
      </c>
      <c r="E25" s="245">
        <v>38596.47</v>
      </c>
      <c r="F25" s="245">
        <v>121919.77</v>
      </c>
      <c r="G25" s="245">
        <v>10404145.039999999</v>
      </c>
      <c r="H25" s="245">
        <f t="shared" si="27"/>
        <v>19448553.059999999</v>
      </c>
      <c r="I25" s="273">
        <v>622</v>
      </c>
      <c r="J25" s="490" t="s">
        <v>98</v>
      </c>
      <c r="K25" s="745">
        <f t="shared" si="28"/>
        <v>31267.770192926044</v>
      </c>
      <c r="L25" s="658" t="s">
        <v>252</v>
      </c>
      <c r="M25" s="491">
        <v>4626965.4000000004</v>
      </c>
      <c r="N25" s="491">
        <v>0</v>
      </c>
      <c r="O25" s="491">
        <v>0</v>
      </c>
      <c r="P25" s="491">
        <v>13098004.939999999</v>
      </c>
      <c r="Q25" s="687">
        <f t="shared" ref="Q25:Q33" si="31">SUM(M25:P25)</f>
        <v>17724970.34</v>
      </c>
      <c r="R25" s="696">
        <v>728</v>
      </c>
      <c r="S25" s="493" t="s">
        <v>98</v>
      </c>
      <c r="T25" s="494">
        <f t="shared" si="20"/>
        <v>24347.486730769229</v>
      </c>
      <c r="U25" s="245">
        <f t="shared" si="30"/>
        <v>-1723582.7199999988</v>
      </c>
      <c r="V25" s="245">
        <f t="shared" si="22"/>
        <v>106</v>
      </c>
      <c r="W25" s="245">
        <f t="shared" si="23"/>
        <v>-6920.2834621568145</v>
      </c>
      <c r="X25" s="246">
        <f t="shared" si="24"/>
        <v>-8.8622671037924459</v>
      </c>
      <c r="Y25" s="245">
        <f t="shared" si="25"/>
        <v>17.041800643086816</v>
      </c>
      <c r="Z25" s="247">
        <f t="shared" si="26"/>
        <v>-22.132321618899592</v>
      </c>
      <c r="AA25" s="34"/>
      <c r="AB25" s="44"/>
      <c r="AC25" s="44"/>
      <c r="AD25" s="44"/>
    </row>
    <row r="26" spans="1:32" s="36" customFormat="1" ht="36" customHeight="1">
      <c r="A26" s="288"/>
      <c r="B26" s="59" t="s">
        <v>253</v>
      </c>
      <c r="C26" s="219" t="s">
        <v>127</v>
      </c>
      <c r="D26" s="231">
        <v>777008.91999999993</v>
      </c>
      <c r="E26" s="231">
        <v>17543.849999999999</v>
      </c>
      <c r="F26" s="231">
        <v>55438.559999999998</v>
      </c>
      <c r="G26" s="231">
        <v>44663.460000000006</v>
      </c>
      <c r="H26" s="231">
        <f t="shared" si="27"/>
        <v>894654.7899999998</v>
      </c>
      <c r="I26" s="271">
        <v>240</v>
      </c>
      <c r="J26" s="223" t="s">
        <v>99</v>
      </c>
      <c r="K26" s="232">
        <f t="shared" si="28"/>
        <v>3727.7282916666659</v>
      </c>
      <c r="L26" s="654" t="s">
        <v>253</v>
      </c>
      <c r="M26" s="233">
        <v>1011668.5700000001</v>
      </c>
      <c r="N26" s="233">
        <v>17487.810000000001</v>
      </c>
      <c r="O26" s="233">
        <v>312549.69000000006</v>
      </c>
      <c r="P26" s="233">
        <v>54030.76</v>
      </c>
      <c r="Q26" s="688">
        <f t="shared" si="31"/>
        <v>1395736.8300000003</v>
      </c>
      <c r="R26" s="697">
        <v>377</v>
      </c>
      <c r="S26" s="223" t="s">
        <v>214</v>
      </c>
      <c r="T26" s="235">
        <f t="shared" si="20"/>
        <v>3702.2197082228126</v>
      </c>
      <c r="U26" s="231">
        <f t="shared" si="30"/>
        <v>501082.0400000005</v>
      </c>
      <c r="V26" s="231">
        <f t="shared" si="22"/>
        <v>137</v>
      </c>
      <c r="W26" s="231">
        <f t="shared" si="23"/>
        <v>-25.50858344385324</v>
      </c>
      <c r="X26" s="236">
        <f t="shared" si="24"/>
        <v>56.008423092442236</v>
      </c>
      <c r="Y26" s="231">
        <f t="shared" si="25"/>
        <v>57.083333333333336</v>
      </c>
      <c r="Z26" s="237">
        <f t="shared" si="26"/>
        <v>-0.68429299154870438</v>
      </c>
      <c r="AA26" s="34"/>
      <c r="AB26" s="34"/>
      <c r="AC26" s="34"/>
      <c r="AD26" s="34"/>
      <c r="AE26" s="35"/>
      <c r="AF26" s="34"/>
    </row>
    <row r="27" spans="1:32" s="28" customFormat="1" ht="17.25" customHeight="1">
      <c r="A27" s="55"/>
      <c r="B27" s="58" t="s">
        <v>254</v>
      </c>
      <c r="C27" s="219" t="s">
        <v>128</v>
      </c>
      <c r="D27" s="231">
        <v>2316973.6799999988</v>
      </c>
      <c r="E27" s="231">
        <v>17543.849999999999</v>
      </c>
      <c r="F27" s="231">
        <v>163425.97</v>
      </c>
      <c r="G27" s="231">
        <v>81985.26999999999</v>
      </c>
      <c r="H27" s="231">
        <f t="shared" si="27"/>
        <v>2579928.7699999991</v>
      </c>
      <c r="I27" s="271">
        <v>1</v>
      </c>
      <c r="J27" s="218" t="s">
        <v>95</v>
      </c>
      <c r="K27" s="232">
        <f t="shared" si="28"/>
        <v>2579928.7699999991</v>
      </c>
      <c r="L27" s="655" t="s">
        <v>254</v>
      </c>
      <c r="M27" s="233">
        <v>1671922.7699999986</v>
      </c>
      <c r="N27" s="233">
        <v>49687.810000000005</v>
      </c>
      <c r="O27" s="233">
        <v>348380.06</v>
      </c>
      <c r="P27" s="233">
        <v>80033.909999999989</v>
      </c>
      <c r="Q27" s="235">
        <f t="shared" si="31"/>
        <v>2150024.5499999989</v>
      </c>
      <c r="R27" s="694">
        <v>1</v>
      </c>
      <c r="S27" s="220" t="s">
        <v>95</v>
      </c>
      <c r="T27" s="235">
        <f t="shared" si="20"/>
        <v>2150024.5499999989</v>
      </c>
      <c r="U27" s="231">
        <f t="shared" si="30"/>
        <v>-429904.2200000002</v>
      </c>
      <c r="V27" s="231">
        <f t="shared" si="22"/>
        <v>0</v>
      </c>
      <c r="W27" s="231">
        <f t="shared" si="23"/>
        <v>-429904.2200000002</v>
      </c>
      <c r="X27" s="236">
        <f t="shared" si="24"/>
        <v>-16.663414315892151</v>
      </c>
      <c r="Y27" s="231">
        <f t="shared" si="25"/>
        <v>0</v>
      </c>
      <c r="Z27" s="237">
        <f t="shared" si="26"/>
        <v>-16.663414315892155</v>
      </c>
      <c r="AA27" s="34"/>
      <c r="AB27" s="45"/>
      <c r="AC27" s="45"/>
      <c r="AD27" s="34"/>
      <c r="AE27" s="35"/>
      <c r="AF27" s="34"/>
    </row>
    <row r="28" spans="1:32" s="28" customFormat="1" ht="38.25" customHeight="1">
      <c r="A28" s="55"/>
      <c r="B28" s="58" t="s">
        <v>255</v>
      </c>
      <c r="C28" s="219" t="s">
        <v>129</v>
      </c>
      <c r="D28" s="231">
        <v>10483254.630000001</v>
      </c>
      <c r="E28" s="231"/>
      <c r="F28" s="231">
        <v>484941.00999999995</v>
      </c>
      <c r="G28" s="231">
        <v>560428.3599999994</v>
      </c>
      <c r="H28" s="231">
        <f t="shared" si="27"/>
        <v>11528624</v>
      </c>
      <c r="I28" s="271">
        <v>18901</v>
      </c>
      <c r="J28" s="219" t="s">
        <v>100</v>
      </c>
      <c r="K28" s="232">
        <f t="shared" si="28"/>
        <v>609.94783344796576</v>
      </c>
      <c r="L28" s="655" t="s">
        <v>255</v>
      </c>
      <c r="M28" s="233">
        <v>12675081.720000001</v>
      </c>
      <c r="N28" s="233">
        <v>247069.94</v>
      </c>
      <c r="O28" s="233">
        <v>2959225.39</v>
      </c>
      <c r="P28" s="233">
        <v>433898.67999999993</v>
      </c>
      <c r="Q28" s="235">
        <f t="shared" si="31"/>
        <v>16315275.73</v>
      </c>
      <c r="R28" s="697" t="s">
        <v>264</v>
      </c>
      <c r="S28" s="223" t="s">
        <v>130</v>
      </c>
      <c r="T28" s="235">
        <f t="shared" si="20"/>
        <v>794.82027232425582</v>
      </c>
      <c r="U28" s="231">
        <f t="shared" si="30"/>
        <v>4786651.7300000004</v>
      </c>
      <c r="V28" s="231">
        <f t="shared" si="22"/>
        <v>1626</v>
      </c>
      <c r="W28" s="231">
        <f t="shared" si="23"/>
        <v>184.87243887629006</v>
      </c>
      <c r="X28" s="236">
        <f t="shared" si="24"/>
        <v>41.519714148019752</v>
      </c>
      <c r="Y28" s="231">
        <f t="shared" si="25"/>
        <v>8.6027194328342418</v>
      </c>
      <c r="Z28" s="237">
        <f t="shared" si="26"/>
        <v>30.309549233288884</v>
      </c>
      <c r="AA28" s="34"/>
      <c r="AB28" s="34"/>
      <c r="AC28" s="34"/>
      <c r="AD28" s="34"/>
      <c r="AE28" s="35"/>
      <c r="AF28" s="34"/>
    </row>
    <row r="29" spans="1:32" s="28" customFormat="1" ht="42" customHeight="1">
      <c r="A29" s="60"/>
      <c r="B29" s="892" t="s">
        <v>256</v>
      </c>
      <c r="C29" s="224" t="s">
        <v>131</v>
      </c>
      <c r="D29" s="239">
        <v>4306529.96</v>
      </c>
      <c r="E29" s="239">
        <v>159709.53</v>
      </c>
      <c r="F29" s="239">
        <v>289045.17</v>
      </c>
      <c r="G29" s="239">
        <v>658433.6</v>
      </c>
      <c r="H29" s="239">
        <f t="shared" si="27"/>
        <v>5413718.2599999998</v>
      </c>
      <c r="I29" s="272">
        <v>11867</v>
      </c>
      <c r="J29" s="224" t="s">
        <v>104</v>
      </c>
      <c r="K29" s="746">
        <f t="shared" si="28"/>
        <v>456.1993983315075</v>
      </c>
      <c r="L29" s="893" t="s">
        <v>256</v>
      </c>
      <c r="M29" s="240">
        <v>3995467.38</v>
      </c>
      <c r="N29" s="240">
        <v>147748.43</v>
      </c>
      <c r="O29" s="240">
        <v>1177427.26</v>
      </c>
      <c r="P29" s="240">
        <v>382297.53</v>
      </c>
      <c r="Q29" s="241">
        <f t="shared" si="31"/>
        <v>5702940.6000000006</v>
      </c>
      <c r="R29" s="894" t="s">
        <v>263</v>
      </c>
      <c r="S29" s="895" t="s">
        <v>104</v>
      </c>
      <c r="T29" s="241">
        <f t="shared" si="20"/>
        <v>443.67049945542249</v>
      </c>
      <c r="U29" s="239">
        <f t="shared" si="30"/>
        <v>289222.34000000078</v>
      </c>
      <c r="V29" s="239">
        <f t="shared" si="22"/>
        <v>987</v>
      </c>
      <c r="W29" s="239">
        <f t="shared" si="23"/>
        <v>-12.528898876085009</v>
      </c>
      <c r="X29" s="242">
        <f t="shared" si="24"/>
        <v>5.3423973341383446</v>
      </c>
      <c r="Y29" s="239">
        <f t="shared" si="25"/>
        <v>8.3171821016263596</v>
      </c>
      <c r="Z29" s="243">
        <f t="shared" si="26"/>
        <v>-2.7463646208013199</v>
      </c>
      <c r="AA29" s="34"/>
      <c r="AB29" s="44"/>
      <c r="AC29" s="44"/>
      <c r="AD29" s="44"/>
    </row>
    <row r="30" spans="1:32" s="28" customFormat="1" ht="51.75">
      <c r="A30" s="60"/>
      <c r="B30" s="885" t="s">
        <v>257</v>
      </c>
      <c r="C30" s="284" t="s">
        <v>131</v>
      </c>
      <c r="D30" s="285">
        <v>4489911.05</v>
      </c>
      <c r="E30" s="285">
        <v>120992.07</v>
      </c>
      <c r="F30" s="285">
        <v>232358.1</v>
      </c>
      <c r="G30" s="285">
        <v>791369.88</v>
      </c>
      <c r="H30" s="285">
        <f t="shared" si="27"/>
        <v>5634631.0999999996</v>
      </c>
      <c r="I30" s="286">
        <v>381</v>
      </c>
      <c r="J30" s="284" t="s">
        <v>102</v>
      </c>
      <c r="K30" s="743">
        <f t="shared" si="28"/>
        <v>14789.058005249342</v>
      </c>
      <c r="L30" s="886" t="s">
        <v>257</v>
      </c>
      <c r="M30" s="287">
        <v>6211301.6600000001</v>
      </c>
      <c r="N30" s="287">
        <v>281192.12</v>
      </c>
      <c r="O30" s="287">
        <v>1088509.57</v>
      </c>
      <c r="P30" s="287">
        <v>513130.58</v>
      </c>
      <c r="Q30" s="887">
        <f t="shared" si="31"/>
        <v>8094133.9300000006</v>
      </c>
      <c r="R30" s="888">
        <v>296</v>
      </c>
      <c r="S30" s="889" t="s">
        <v>102</v>
      </c>
      <c r="T30" s="887">
        <f t="shared" si="20"/>
        <v>27345.047060810812</v>
      </c>
      <c r="U30" s="285">
        <f t="shared" si="30"/>
        <v>2459502.830000001</v>
      </c>
      <c r="V30" s="285">
        <f t="shared" si="22"/>
        <v>-85</v>
      </c>
      <c r="W30" s="285">
        <f t="shared" si="23"/>
        <v>12555.989055561469</v>
      </c>
      <c r="X30" s="890">
        <f t="shared" si="24"/>
        <v>43.649757834190801</v>
      </c>
      <c r="Y30" s="285">
        <f t="shared" si="25"/>
        <v>-22.309711286089239</v>
      </c>
      <c r="Z30" s="891">
        <f t="shared" si="26"/>
        <v>84.900532887928023</v>
      </c>
      <c r="AA30" s="34"/>
      <c r="AB30" s="44"/>
      <c r="AC30" s="44"/>
      <c r="AD30" s="44"/>
    </row>
    <row r="31" spans="1:32" s="28" customFormat="1" ht="17.25" customHeight="1">
      <c r="A31" s="60"/>
      <c r="B31" s="58" t="s">
        <v>258</v>
      </c>
      <c r="C31" s="219" t="s">
        <v>131</v>
      </c>
      <c r="D31" s="231">
        <v>4265640.26</v>
      </c>
      <c r="E31" s="231">
        <v>140350.79999999999</v>
      </c>
      <c r="F31" s="231">
        <v>303402.96999999997</v>
      </c>
      <c r="G31" s="231">
        <v>587066.94999999995</v>
      </c>
      <c r="H31" s="231">
        <f t="shared" si="27"/>
        <v>5296460.9799999995</v>
      </c>
      <c r="I31" s="271">
        <v>364</v>
      </c>
      <c r="J31" s="218" t="s">
        <v>101</v>
      </c>
      <c r="K31" s="232">
        <f t="shared" si="28"/>
        <v>14550.716978021977</v>
      </c>
      <c r="L31" s="655" t="s">
        <v>258</v>
      </c>
      <c r="M31" s="233">
        <v>4913360.79</v>
      </c>
      <c r="N31" s="233">
        <v>285174.59999999998</v>
      </c>
      <c r="O31" s="233">
        <v>1252310.1100000001</v>
      </c>
      <c r="P31" s="233">
        <v>341585.53</v>
      </c>
      <c r="Q31" s="235">
        <f t="shared" si="31"/>
        <v>6792431.0300000003</v>
      </c>
      <c r="R31" s="694">
        <v>368</v>
      </c>
      <c r="S31" s="220" t="s">
        <v>101</v>
      </c>
      <c r="T31" s="235">
        <f t="shared" si="20"/>
        <v>18457.693016304347</v>
      </c>
      <c r="U31" s="231">
        <f t="shared" si="30"/>
        <v>1495970.0500000007</v>
      </c>
      <c r="V31" s="231">
        <f t="shared" si="22"/>
        <v>4</v>
      </c>
      <c r="W31" s="231">
        <f t="shared" si="23"/>
        <v>3906.9760382823697</v>
      </c>
      <c r="X31" s="236">
        <f t="shared" si="24"/>
        <v>28.244710112071868</v>
      </c>
      <c r="Y31" s="231">
        <f t="shared" si="25"/>
        <v>1.098901098901099</v>
      </c>
      <c r="Z31" s="237">
        <f t="shared" si="26"/>
        <v>26.850745871723248</v>
      </c>
      <c r="AA31" s="34"/>
      <c r="AB31" s="44"/>
      <c r="AC31" s="44"/>
      <c r="AD31" s="44"/>
    </row>
    <row r="32" spans="1:32" s="28" customFormat="1" ht="17.25" customHeight="1">
      <c r="A32" s="57"/>
      <c r="B32" s="58" t="s">
        <v>245</v>
      </c>
      <c r="C32" s="219" t="s">
        <v>131</v>
      </c>
      <c r="D32" s="231">
        <v>6079167.79</v>
      </c>
      <c r="E32" s="231">
        <v>0</v>
      </c>
      <c r="F32" s="231">
        <v>25438.46</v>
      </c>
      <c r="G32" s="231">
        <v>1239124.24</v>
      </c>
      <c r="H32" s="231">
        <f t="shared" si="27"/>
        <v>7343730.4900000002</v>
      </c>
      <c r="I32" s="271">
        <v>349133</v>
      </c>
      <c r="J32" s="219" t="s">
        <v>103</v>
      </c>
      <c r="K32" s="747">
        <f>H32/I32</f>
        <v>21.034191812289301</v>
      </c>
      <c r="L32" s="655" t="s">
        <v>245</v>
      </c>
      <c r="M32" s="233">
        <v>6571481.9000000004</v>
      </c>
      <c r="N32" s="233">
        <v>8850</v>
      </c>
      <c r="O32" s="233">
        <v>29094.02</v>
      </c>
      <c r="P32" s="233">
        <v>128282.65</v>
      </c>
      <c r="Q32" s="235">
        <f t="shared" si="31"/>
        <v>6737708.5700000003</v>
      </c>
      <c r="R32" s="694" t="s">
        <v>261</v>
      </c>
      <c r="S32" s="220" t="s">
        <v>103</v>
      </c>
      <c r="T32" s="235">
        <f t="shared" si="20"/>
        <v>22.331811679465975</v>
      </c>
      <c r="U32" s="231">
        <f t="shared" si="30"/>
        <v>-606021.91999999993</v>
      </c>
      <c r="V32" s="231">
        <f t="shared" si="22"/>
        <v>-47424</v>
      </c>
      <c r="W32" s="231">
        <f t="shared" si="23"/>
        <v>1.2976198671766745</v>
      </c>
      <c r="X32" s="236">
        <f t="shared" si="24"/>
        <v>-8.2522353022789101</v>
      </c>
      <c r="Y32" s="231">
        <f t="shared" si="25"/>
        <v>-13.583362214399671</v>
      </c>
      <c r="Z32" s="237">
        <f t="shared" si="26"/>
        <v>6.1690978134873511</v>
      </c>
      <c r="AA32" s="34"/>
      <c r="AB32" s="44"/>
      <c r="AC32" s="44"/>
      <c r="AD32" s="44"/>
    </row>
    <row r="33" spans="1:30" s="28" customFormat="1" ht="37.5" customHeight="1">
      <c r="A33" s="60"/>
      <c r="B33" s="58" t="s">
        <v>246</v>
      </c>
      <c r="C33" s="219" t="s">
        <v>131</v>
      </c>
      <c r="D33" s="231">
        <v>3523209.7</v>
      </c>
      <c r="E33" s="231">
        <v>140350.79999999999</v>
      </c>
      <c r="F33" s="231">
        <v>245278.01</v>
      </c>
      <c r="G33" s="231">
        <v>587345.72</v>
      </c>
      <c r="H33" s="231">
        <f>SUM(D33:G33)</f>
        <v>4496184.2299999995</v>
      </c>
      <c r="I33" s="271">
        <v>65419</v>
      </c>
      <c r="J33" s="219" t="s">
        <v>132</v>
      </c>
      <c r="K33" s="232">
        <f t="shared" si="28"/>
        <v>68.729027193934471</v>
      </c>
      <c r="L33" s="655" t="s">
        <v>246</v>
      </c>
      <c r="M33" s="233">
        <v>3270114.99</v>
      </c>
      <c r="N33" s="233">
        <v>90823.77</v>
      </c>
      <c r="O33" s="233">
        <v>689918.99</v>
      </c>
      <c r="P33" s="233">
        <v>297342.53000000003</v>
      </c>
      <c r="Q33" s="689">
        <f t="shared" si="31"/>
        <v>4348200.28</v>
      </c>
      <c r="R33" s="697" t="s">
        <v>262</v>
      </c>
      <c r="S33" s="219" t="s">
        <v>130</v>
      </c>
      <c r="T33" s="235">
        <f t="shared" si="20"/>
        <v>63.767822490760842</v>
      </c>
      <c r="U33" s="231">
        <f t="shared" si="30"/>
        <v>-147983.94999999925</v>
      </c>
      <c r="V33" s="231">
        <f t="shared" si="22"/>
        <v>2769</v>
      </c>
      <c r="W33" s="231">
        <f t="shared" si="23"/>
        <v>-4.9612047031736282</v>
      </c>
      <c r="X33" s="236">
        <f t="shared" si="24"/>
        <v>-3.2913230959844206</v>
      </c>
      <c r="Y33" s="231">
        <f t="shared" si="25"/>
        <v>4.2327152662070651</v>
      </c>
      <c r="Z33" s="237">
        <f t="shared" si="26"/>
        <v>-7.2184998183874605</v>
      </c>
      <c r="AA33" s="34"/>
      <c r="AB33" s="44"/>
      <c r="AC33" s="44"/>
      <c r="AD33" s="44"/>
    </row>
    <row r="34" spans="1:30" s="277" customFormat="1" ht="17.25" customHeight="1">
      <c r="A34" s="808" t="s">
        <v>19</v>
      </c>
      <c r="B34" s="809"/>
      <c r="C34" s="228"/>
      <c r="D34" s="248">
        <f>SUM(D6+D7+D8+D9+D12+D13+D14+D15+D18+D19+D21+D22+D23+D24+D25+D26+D27+D28+D29+D30+D31+D32+D33)</f>
        <v>283703559.88400006</v>
      </c>
      <c r="E34" s="248">
        <f>SUM(E6:E33)</f>
        <v>14046452.690000003</v>
      </c>
      <c r="F34" s="248">
        <f t="shared" ref="F34" si="32">SUM(F6+F7+F8+F9+F12+F13+F14+F15+F18+F19+F21+F22+F23+F24+F25+F26+F27+F28+F29+F30+F31+F32+F33)</f>
        <v>24049180.330000002</v>
      </c>
      <c r="G34" s="248">
        <f>SUM(G6+G7+G8+G9+G12+G13+G14+G15+G18+G19+G21+G22+G23+G24+G25+G26+G27+G28+G29+G30+G31+G32+G33)</f>
        <v>28706277.799999997</v>
      </c>
      <c r="H34" s="248">
        <f>SUM(H6+H7+H8+H9+H12+H13+H14+H15+H18+H19+H21+H22+H23+H24+H25+H26+H27+H28+H29+H30+H31+H32+H33)</f>
        <v>348066875.55400008</v>
      </c>
      <c r="I34" s="229"/>
      <c r="J34" s="229"/>
      <c r="K34" s="651"/>
      <c r="L34" s="248"/>
      <c r="M34" s="248">
        <f>SUM(M6+M7+M8+M9+M12+M13+M14+M15+M18+M19+M21+M22+M23+M24+M25+M26+M27+M28+M29+M30+M31+M32+M33)</f>
        <v>286416929.21000004</v>
      </c>
      <c r="N34" s="248">
        <f>SUM(N6+N7+N8+N9+N12+N13+N14+N15+N18+N19+N21+N22+N23+N24+N25+N26+N27+N28+N29+N30+N31+N32+N33)</f>
        <v>9305921.2799999975</v>
      </c>
      <c r="O34" s="248">
        <f>SUM(O6+O7+O8+O9+O12+O13+O14+O15+O18+O19+O21+O22+O23+O24+O25+O26+O27+O28+O29+O30+O31+O32+O33)</f>
        <v>73947124.949999988</v>
      </c>
      <c r="P34" s="248">
        <f>SUM(P6+P7+P8+P9+P12+P13+P14+P15+P18+P19+P21+P22+P23+P24+P25+P26+P27+P28+P29+P30+P31+P32+P33)</f>
        <v>37010311.669999994</v>
      </c>
      <c r="Q34" s="248">
        <f>SUM(Q6+Q7+Q8+Q9+Q12+Q13+Q14+Q15+Q18+Q19+Q21+Q22+Q23+Q24+Q25+Q26+Q27+Q28+Q29+Q30+Q31+Q32+Q33)</f>
        <v>406680287.1099999</v>
      </c>
      <c r="R34" s="691"/>
      <c r="S34" s="229"/>
      <c r="T34" s="248"/>
      <c r="U34" s="248">
        <f>SUM(U6:U33)</f>
        <v>58613411.555999935</v>
      </c>
      <c r="V34" s="248">
        <f>SUM(V6:V33)</f>
        <v>-40930</v>
      </c>
      <c r="W34" s="248">
        <f>SUM(W6:W33)</f>
        <v>8084568.3791430192</v>
      </c>
      <c r="X34" s="248"/>
      <c r="Y34" s="248"/>
      <c r="Z34" s="248"/>
      <c r="AA34" s="275"/>
      <c r="AB34" s="276"/>
      <c r="AC34" s="276"/>
      <c r="AD34" s="276"/>
    </row>
    <row r="35" spans="1:30" s="47" customFormat="1">
      <c r="B35" s="46"/>
      <c r="C35" s="48"/>
      <c r="D35" s="805"/>
      <c r="E35" s="805"/>
      <c r="H35" s="26"/>
      <c r="I35" s="49"/>
      <c r="J35" s="49"/>
      <c r="M35" s="44"/>
      <c r="N35" s="44"/>
      <c r="O35" s="44"/>
      <c r="P35" s="44"/>
      <c r="Q35" s="44"/>
      <c r="R35" s="26"/>
      <c r="S35" s="26"/>
      <c r="T35" s="44"/>
      <c r="U35" s="44"/>
      <c r="V35" s="44"/>
      <c r="W35" s="44"/>
      <c r="X35" s="44"/>
      <c r="Y35" s="44"/>
      <c r="Z35" s="44"/>
    </row>
    <row r="36" spans="1:30">
      <c r="D36" s="50"/>
      <c r="E36" s="811"/>
      <c r="F36" s="811"/>
      <c r="G36" s="810"/>
      <c r="H36" s="810"/>
      <c r="I36" s="481"/>
    </row>
    <row r="40" spans="1:30">
      <c r="I40" s="481"/>
    </row>
  </sheetData>
  <mergeCells count="13">
    <mergeCell ref="A1:Z1"/>
    <mergeCell ref="X2:Z2"/>
    <mergeCell ref="A3:B4"/>
    <mergeCell ref="C3:C4"/>
    <mergeCell ref="D3:K3"/>
    <mergeCell ref="M3:T3"/>
    <mergeCell ref="U3:W3"/>
    <mergeCell ref="X3:Z3"/>
    <mergeCell ref="D35:E35"/>
    <mergeCell ref="A5:B5"/>
    <mergeCell ref="A34:B34"/>
    <mergeCell ref="G36:H36"/>
    <mergeCell ref="E36:F36"/>
  </mergeCells>
  <printOptions horizontalCentered="1"/>
  <pageMargins left="0.49" right="0.39370078740157483" top="0.55118110236220474" bottom="0.35433070866141736" header="0.31496062992125984" footer="0.23622047244094491"/>
  <pageSetup paperSize="9" scale="68" fitToHeight="100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29"/>
  <sheetViews>
    <sheetView tabSelected="1" topLeftCell="A10" zoomScaleNormal="100" workbookViewId="0">
      <selection activeCell="J14" sqref="J14"/>
    </sheetView>
  </sheetViews>
  <sheetFormatPr defaultRowHeight="15"/>
  <cols>
    <col min="1" max="1" width="19.5" style="77" customWidth="1"/>
    <col min="2" max="2" width="11" style="77" bestFit="1" customWidth="1"/>
    <col min="3" max="5" width="10.25" style="77" bestFit="1" customWidth="1"/>
    <col min="6" max="6" width="11.25" style="77" bestFit="1" customWidth="1"/>
    <col min="7" max="7" width="3.875" style="78" customWidth="1"/>
    <col min="8" max="8" width="6.75" style="78" customWidth="1"/>
    <col min="9" max="9" width="7.25" style="77" customWidth="1"/>
    <col min="10" max="10" width="20.25" style="77" customWidth="1"/>
    <col min="11" max="11" width="11" style="77" bestFit="1" customWidth="1"/>
    <col min="12" max="12" width="9.5" style="77" bestFit="1" customWidth="1"/>
    <col min="13" max="14" width="10.25" style="77" bestFit="1" customWidth="1"/>
    <col min="15" max="15" width="11" style="77" bestFit="1" customWidth="1"/>
    <col min="16" max="16" width="3.875" style="77" customWidth="1"/>
    <col min="17" max="17" width="6.75" style="78" customWidth="1"/>
    <col min="18" max="18" width="10.25" style="77" bestFit="1" customWidth="1"/>
    <col min="19" max="19" width="10.25" style="79" hidden="1" customWidth="1"/>
    <col min="20" max="20" width="5.375" style="79" hidden="1" customWidth="1"/>
    <col min="21" max="21" width="9.5" style="79" hidden="1" customWidth="1"/>
    <col min="22" max="22" width="4.25" style="77" customWidth="1"/>
    <col min="23" max="23" width="4.25" style="80" customWidth="1"/>
    <col min="24" max="24" width="4.75" style="77" customWidth="1"/>
    <col min="25" max="16384" width="9" style="77"/>
  </cols>
  <sheetData>
    <row r="1" spans="1:24" s="68" customFormat="1" ht="23.25">
      <c r="A1" s="822" t="s">
        <v>220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2"/>
      <c r="U1" s="822"/>
      <c r="V1" s="822"/>
      <c r="W1" s="822"/>
      <c r="X1" s="822"/>
    </row>
    <row r="2" spans="1:24" s="65" customFormat="1" ht="24.75" customHeight="1">
      <c r="A2" s="63" t="s">
        <v>200</v>
      </c>
      <c r="B2" s="63"/>
      <c r="C2" s="63"/>
      <c r="D2" s="63"/>
      <c r="E2" s="63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71"/>
      <c r="T2" s="71"/>
      <c r="U2" s="71"/>
      <c r="W2" s="823" t="s">
        <v>111</v>
      </c>
      <c r="X2" s="823"/>
    </row>
    <row r="3" spans="1:24" s="67" customFormat="1" ht="17.25" customHeight="1">
      <c r="A3" s="824" t="s">
        <v>145</v>
      </c>
      <c r="B3" s="826" t="s">
        <v>144</v>
      </c>
      <c r="C3" s="826"/>
      <c r="D3" s="826"/>
      <c r="E3" s="826"/>
      <c r="F3" s="826"/>
      <c r="G3" s="826"/>
      <c r="H3" s="826"/>
      <c r="I3" s="826"/>
      <c r="J3" s="824" t="s">
        <v>145</v>
      </c>
      <c r="K3" s="826" t="s">
        <v>221</v>
      </c>
      <c r="L3" s="826"/>
      <c r="M3" s="826"/>
      <c r="N3" s="826"/>
      <c r="O3" s="826"/>
      <c r="P3" s="826"/>
      <c r="Q3" s="826"/>
      <c r="R3" s="826"/>
      <c r="S3" s="827" t="s">
        <v>112</v>
      </c>
      <c r="T3" s="828"/>
      <c r="U3" s="829"/>
      <c r="V3" s="830" t="s">
        <v>203</v>
      </c>
      <c r="W3" s="831"/>
      <c r="X3" s="832"/>
    </row>
    <row r="4" spans="1:24" s="75" customFormat="1" ht="62.25" customHeight="1">
      <c r="A4" s="825"/>
      <c r="B4" s="73" t="s">
        <v>113</v>
      </c>
      <c r="C4" s="72" t="s">
        <v>146</v>
      </c>
      <c r="D4" s="66" t="s">
        <v>1</v>
      </c>
      <c r="E4" s="73" t="s">
        <v>84</v>
      </c>
      <c r="F4" s="66" t="s">
        <v>87</v>
      </c>
      <c r="G4" s="66" t="s">
        <v>88</v>
      </c>
      <c r="H4" s="66" t="s">
        <v>89</v>
      </c>
      <c r="I4" s="73" t="s">
        <v>90</v>
      </c>
      <c r="J4" s="825"/>
      <c r="K4" s="73" t="s">
        <v>113</v>
      </c>
      <c r="L4" s="72" t="s">
        <v>146</v>
      </c>
      <c r="M4" s="66" t="s">
        <v>1</v>
      </c>
      <c r="N4" s="73" t="s">
        <v>84</v>
      </c>
      <c r="O4" s="66" t="s">
        <v>87</v>
      </c>
      <c r="P4" s="66" t="s">
        <v>88</v>
      </c>
      <c r="Q4" s="66" t="s">
        <v>89</v>
      </c>
      <c r="R4" s="73" t="s">
        <v>90</v>
      </c>
      <c r="S4" s="74" t="s">
        <v>147</v>
      </c>
      <c r="T4" s="13" t="s">
        <v>148</v>
      </c>
      <c r="U4" s="74" t="s">
        <v>149</v>
      </c>
      <c r="V4" s="501" t="s">
        <v>206</v>
      </c>
      <c r="W4" s="501" t="s">
        <v>205</v>
      </c>
      <c r="X4" s="501" t="s">
        <v>204</v>
      </c>
    </row>
    <row r="5" spans="1:24" s="14" customFormat="1" ht="39">
      <c r="A5" s="354" t="s">
        <v>151</v>
      </c>
      <c r="B5" s="336">
        <v>23109901.433326032</v>
      </c>
      <c r="C5" s="336">
        <v>5214827.3297769995</v>
      </c>
      <c r="D5" s="336">
        <v>6957934.1859259987</v>
      </c>
      <c r="E5" s="336">
        <v>2796708.7245239993</v>
      </c>
      <c r="F5" s="365">
        <v>38079371.673553027</v>
      </c>
      <c r="G5" s="321">
        <v>330</v>
      </c>
      <c r="H5" s="355" t="s">
        <v>92</v>
      </c>
      <c r="I5" s="370">
        <f>F5/G5</f>
        <v>115392.03537440312</v>
      </c>
      <c r="J5" s="354" t="s">
        <v>151</v>
      </c>
      <c r="K5" s="371">
        <v>24991210.473195016</v>
      </c>
      <c r="L5" s="371">
        <v>1039648.494701</v>
      </c>
      <c r="M5" s="371">
        <v>7758470.6174659999</v>
      </c>
      <c r="N5" s="371">
        <v>3127107.3868710003</v>
      </c>
      <c r="O5" s="372">
        <f>SUM(K5:N5)</f>
        <v>36916436.97223302</v>
      </c>
      <c r="P5" s="322">
        <v>645</v>
      </c>
      <c r="Q5" s="193" t="s">
        <v>92</v>
      </c>
      <c r="R5" s="715">
        <f>O5/P5</f>
        <v>57234.786003462046</v>
      </c>
      <c r="S5" s="336">
        <f>O5-F5</f>
        <v>-1162934.7013200074</v>
      </c>
      <c r="T5" s="336">
        <f>P5-G5</f>
        <v>315</v>
      </c>
      <c r="U5" s="336">
        <f>R5-I5</f>
        <v>-58157.24937094107</v>
      </c>
      <c r="V5" s="337">
        <f>S5*100/F5</f>
        <v>-3.0539755521430823</v>
      </c>
      <c r="W5" s="337">
        <f>T5*100/G5</f>
        <v>95.454545454545453</v>
      </c>
      <c r="X5" s="337">
        <f>U5*100/I5</f>
        <v>-50.399708422026698</v>
      </c>
    </row>
    <row r="6" spans="1:24" s="732" customFormat="1" ht="33.75" customHeight="1">
      <c r="A6" s="730" t="s">
        <v>266</v>
      </c>
      <c r="B6" s="706">
        <f>SUM(B7:B8)</f>
        <v>117993506.94250602</v>
      </c>
      <c r="C6" s="706">
        <f t="shared" ref="C6:E6" si="0">SUM(C7:C8)</f>
        <v>2122310.1577090002</v>
      </c>
      <c r="D6" s="706">
        <f t="shared" si="0"/>
        <v>8280402.1287930012</v>
      </c>
      <c r="E6" s="706">
        <f t="shared" si="0"/>
        <v>9672890.4659160003</v>
      </c>
      <c r="F6" s="707">
        <f>SUM(B6:E6)</f>
        <v>138069109.69492403</v>
      </c>
      <c r="G6" s="708">
        <f>G7+G8</f>
        <v>937</v>
      </c>
      <c r="H6" s="702" t="s">
        <v>93</v>
      </c>
      <c r="I6" s="731">
        <f>F6/G6</f>
        <v>147352.30490386768</v>
      </c>
      <c r="J6" s="730" t="s">
        <v>266</v>
      </c>
      <c r="K6" s="710">
        <v>113033003.02018601</v>
      </c>
      <c r="L6" s="710">
        <v>3241847.1553569995</v>
      </c>
      <c r="M6" s="710">
        <v>32280798.498194002</v>
      </c>
      <c r="N6" s="710">
        <v>8035377.2408300005</v>
      </c>
      <c r="O6" s="711">
        <f>SUM(K6:N6)</f>
        <v>156591025.91456702</v>
      </c>
      <c r="P6" s="712">
        <v>706</v>
      </c>
      <c r="Q6" s="649" t="s">
        <v>93</v>
      </c>
      <c r="R6" s="706">
        <f>O6/P6</f>
        <v>221800.31999230458</v>
      </c>
      <c r="S6" s="706">
        <f t="shared" ref="S6" si="1">O6-F6</f>
        <v>18521916.219642997</v>
      </c>
      <c r="T6" s="706">
        <f>P6-G6</f>
        <v>-231</v>
      </c>
      <c r="U6" s="706">
        <f>R6-I6</f>
        <v>74448.015088436892</v>
      </c>
      <c r="V6" s="713">
        <f t="shared" ref="V6" si="2">S6*100/F6</f>
        <v>13.414960276465038</v>
      </c>
      <c r="W6" s="713">
        <f t="shared" ref="W6" si="3">T6*100/G6</f>
        <v>-24.65314834578442</v>
      </c>
      <c r="X6" s="713">
        <f>U6*100/I6</f>
        <v>50.523821216781513</v>
      </c>
    </row>
    <row r="7" spans="1:24" s="704" customFormat="1" ht="102" customHeight="1">
      <c r="A7" s="699" t="s">
        <v>267</v>
      </c>
      <c r="B7" s="340">
        <v>80772685.025733024</v>
      </c>
      <c r="C7" s="340">
        <v>1477048.9779759999</v>
      </c>
      <c r="D7" s="340">
        <v>5487898.4550990006</v>
      </c>
      <c r="E7" s="340">
        <v>5623745.9476719992</v>
      </c>
      <c r="F7" s="700">
        <v>93361378.406480014</v>
      </c>
      <c r="G7" s="701">
        <v>718</v>
      </c>
      <c r="H7" s="702" t="s">
        <v>93</v>
      </c>
      <c r="I7" s="703">
        <f>F7/G7</f>
        <v>130029.77493938721</v>
      </c>
      <c r="J7" s="716" t="s">
        <v>260</v>
      </c>
      <c r="K7" s="717" t="s">
        <v>260</v>
      </c>
      <c r="L7" s="717" t="s">
        <v>260</v>
      </c>
      <c r="M7" s="717" t="s">
        <v>260</v>
      </c>
      <c r="N7" s="717" t="s">
        <v>260</v>
      </c>
      <c r="O7" s="717" t="s">
        <v>260</v>
      </c>
      <c r="P7" s="717" t="s">
        <v>260</v>
      </c>
      <c r="Q7" s="717" t="s">
        <v>260</v>
      </c>
      <c r="R7" s="717" t="s">
        <v>260</v>
      </c>
      <c r="S7" s="717" t="s">
        <v>260</v>
      </c>
      <c r="T7" s="717" t="s">
        <v>260</v>
      </c>
      <c r="U7" s="717" t="s">
        <v>260</v>
      </c>
      <c r="V7" s="717" t="s">
        <v>260</v>
      </c>
      <c r="W7" s="717" t="s">
        <v>260</v>
      </c>
      <c r="X7" s="717" t="s">
        <v>260</v>
      </c>
    </row>
    <row r="8" spans="1:24" s="704" customFormat="1" ht="58.5">
      <c r="A8" s="699" t="s">
        <v>268</v>
      </c>
      <c r="B8" s="340">
        <v>37220821.916772991</v>
      </c>
      <c r="C8" s="340">
        <v>645261.17973300011</v>
      </c>
      <c r="D8" s="340">
        <v>2792503.6736940006</v>
      </c>
      <c r="E8" s="340">
        <v>4049144.5182440002</v>
      </c>
      <c r="F8" s="700">
        <v>44707731.28844399</v>
      </c>
      <c r="G8" s="701">
        <v>219</v>
      </c>
      <c r="H8" s="701" t="s">
        <v>93</v>
      </c>
      <c r="I8" s="703">
        <f>F8/G8</f>
        <v>204144.89172805476</v>
      </c>
      <c r="J8" s="716" t="s">
        <v>260</v>
      </c>
      <c r="K8" s="718" t="s">
        <v>260</v>
      </c>
      <c r="L8" s="718" t="s">
        <v>260</v>
      </c>
      <c r="M8" s="718" t="s">
        <v>260</v>
      </c>
      <c r="N8" s="718" t="s">
        <v>260</v>
      </c>
      <c r="O8" s="716" t="s">
        <v>260</v>
      </c>
      <c r="P8" s="719" t="s">
        <v>260</v>
      </c>
      <c r="Q8" s="719" t="s">
        <v>260</v>
      </c>
      <c r="R8" s="716" t="s">
        <v>260</v>
      </c>
      <c r="S8" s="716" t="s">
        <v>260</v>
      </c>
      <c r="T8" s="716" t="s">
        <v>260</v>
      </c>
      <c r="U8" s="716" t="s">
        <v>260</v>
      </c>
      <c r="V8" s="716" t="s">
        <v>260</v>
      </c>
      <c r="W8" s="716" t="s">
        <v>260</v>
      </c>
      <c r="X8" s="716" t="s">
        <v>260</v>
      </c>
    </row>
    <row r="9" spans="1:24" s="14" customFormat="1" ht="59.25" customHeight="1">
      <c r="A9" s="357" t="s">
        <v>269</v>
      </c>
      <c r="B9" s="344">
        <v>9106524.3236769997</v>
      </c>
      <c r="C9" s="344">
        <v>169317.64219600003</v>
      </c>
      <c r="D9" s="344">
        <v>741215.27817200008</v>
      </c>
      <c r="E9" s="344">
        <v>1296098.8391809999</v>
      </c>
      <c r="F9" s="366">
        <v>11313156.083225999</v>
      </c>
      <c r="G9" s="330">
        <v>6</v>
      </c>
      <c r="H9" s="358" t="s">
        <v>94</v>
      </c>
      <c r="I9" s="758">
        <f t="shared" ref="I9" si="4">F9/G9</f>
        <v>1885526.0138709999</v>
      </c>
      <c r="J9" s="357" t="s">
        <v>269</v>
      </c>
      <c r="K9" s="374">
        <v>10480032.981748</v>
      </c>
      <c r="L9" s="374">
        <v>393907.78171799995</v>
      </c>
      <c r="M9" s="374">
        <v>1901054.6335190001</v>
      </c>
      <c r="N9" s="374">
        <v>1561326.501707</v>
      </c>
      <c r="O9" s="375">
        <f>SUM(K9:N9)</f>
        <v>14336321.898692001</v>
      </c>
      <c r="P9" s="326">
        <v>7</v>
      </c>
      <c r="Q9" s="359" t="s">
        <v>94</v>
      </c>
      <c r="R9" s="344">
        <f>O9/P9</f>
        <v>2048045.9855274286</v>
      </c>
      <c r="S9" s="344">
        <f t="shared" ref="S9:S12" si="5">O9-F9</f>
        <v>3023165.8154660016</v>
      </c>
      <c r="T9" s="344">
        <f t="shared" ref="T9:T12" si="6">P9-G9</f>
        <v>1</v>
      </c>
      <c r="U9" s="344">
        <f>R9-I9</f>
        <v>162519.97165642865</v>
      </c>
      <c r="V9" s="345">
        <f t="shared" ref="V9:V12" si="7">S9*100/F9</f>
        <v>26.722567895518083</v>
      </c>
      <c r="W9" s="345">
        <f t="shared" ref="W9:W12" si="8">T9*100/G9</f>
        <v>16.666666666666668</v>
      </c>
      <c r="X9" s="345">
        <f>U9*100/I9</f>
        <v>8.6193439104440603</v>
      </c>
    </row>
    <row r="10" spans="1:24" s="76" customFormat="1" ht="78">
      <c r="A10" s="356" t="s">
        <v>270</v>
      </c>
      <c r="B10" s="344">
        <v>11896350.966247998</v>
      </c>
      <c r="C10" s="344">
        <v>1908931.369399</v>
      </c>
      <c r="D10" s="344">
        <v>782882.80116999988</v>
      </c>
      <c r="E10" s="344">
        <v>932818.45985599991</v>
      </c>
      <c r="F10" s="366">
        <v>15520983.596672997</v>
      </c>
      <c r="G10" s="330">
        <v>78</v>
      </c>
      <c r="H10" s="326" t="s">
        <v>118</v>
      </c>
      <c r="I10" s="373">
        <f t="shared" ref="I10:I16" si="9">F10/G10</f>
        <v>198986.96918811536</v>
      </c>
      <c r="J10" s="356" t="s">
        <v>270</v>
      </c>
      <c r="K10" s="374">
        <v>14786548.568781</v>
      </c>
      <c r="L10" s="374">
        <v>497780.96960400004</v>
      </c>
      <c r="M10" s="374">
        <v>2069023.9803880001</v>
      </c>
      <c r="N10" s="374">
        <v>1605339.220313</v>
      </c>
      <c r="O10" s="375">
        <f t="shared" ref="O10:O12" si="10">SUM(K10:N10)</f>
        <v>18958692.739086002</v>
      </c>
      <c r="P10" s="326">
        <v>77</v>
      </c>
      <c r="Q10" s="326" t="s">
        <v>118</v>
      </c>
      <c r="R10" s="344">
        <f t="shared" ref="R10:R12" si="11">O10/P10</f>
        <v>246216.78881929873</v>
      </c>
      <c r="S10" s="344">
        <f t="shared" si="5"/>
        <v>3437709.1424130052</v>
      </c>
      <c r="T10" s="344">
        <f t="shared" si="6"/>
        <v>-1</v>
      </c>
      <c r="U10" s="344">
        <f t="shared" ref="U10:U12" si="12">R10-I10</f>
        <v>47229.819631183374</v>
      </c>
      <c r="V10" s="345">
        <f t="shared" si="7"/>
        <v>22.148784070294976</v>
      </c>
      <c r="W10" s="345">
        <f t="shared" si="8"/>
        <v>-1.2820512820512822</v>
      </c>
      <c r="X10" s="345">
        <f t="shared" ref="X10:X12" si="13">U10*100/I10</f>
        <v>23.735131915363734</v>
      </c>
    </row>
    <row r="11" spans="1:24" s="76" customFormat="1" ht="58.5">
      <c r="A11" s="356" t="s">
        <v>271</v>
      </c>
      <c r="B11" s="344">
        <v>21811904.127537008</v>
      </c>
      <c r="C11" s="344">
        <v>437676.16457400005</v>
      </c>
      <c r="D11" s="344">
        <v>1348512.4306639999</v>
      </c>
      <c r="E11" s="344">
        <v>1391660.4011199998</v>
      </c>
      <c r="F11" s="366">
        <v>24989753.123895008</v>
      </c>
      <c r="G11" s="330">
        <v>16</v>
      </c>
      <c r="H11" s="330" t="s">
        <v>143</v>
      </c>
      <c r="I11" s="373">
        <f t="shared" si="9"/>
        <v>1561859.570243438</v>
      </c>
      <c r="J11" s="356" t="s">
        <v>271</v>
      </c>
      <c r="K11" s="374">
        <v>25018732.381788004</v>
      </c>
      <c r="L11" s="374">
        <v>842233.09683199995</v>
      </c>
      <c r="M11" s="374">
        <v>7259535.9197660014</v>
      </c>
      <c r="N11" s="374">
        <v>1999879.1644530003</v>
      </c>
      <c r="O11" s="375">
        <f t="shared" si="10"/>
        <v>35120380.562839009</v>
      </c>
      <c r="P11" s="326">
        <v>17</v>
      </c>
      <c r="Q11" s="326" t="s">
        <v>124</v>
      </c>
      <c r="R11" s="344">
        <f t="shared" si="11"/>
        <v>2065904.7389905299</v>
      </c>
      <c r="S11" s="344">
        <f t="shared" si="5"/>
        <v>10130627.438944001</v>
      </c>
      <c r="T11" s="344">
        <f t="shared" si="6"/>
        <v>1</v>
      </c>
      <c r="U11" s="344">
        <f t="shared" si="12"/>
        <v>504045.1687470919</v>
      </c>
      <c r="V11" s="345">
        <f t="shared" si="7"/>
        <v>40.539125731727111</v>
      </c>
      <c r="W11" s="345">
        <f t="shared" si="8"/>
        <v>6.25</v>
      </c>
      <c r="X11" s="345">
        <f t="shared" si="13"/>
        <v>32.272118335743158</v>
      </c>
    </row>
    <row r="12" spans="1:24" s="704" customFormat="1" ht="53.25" customHeight="1">
      <c r="A12" s="733" t="s">
        <v>273</v>
      </c>
      <c r="B12" s="734">
        <f>SUM(B13:B14)</f>
        <v>51817294.78787905</v>
      </c>
      <c r="C12" s="734">
        <f t="shared" ref="C12:D12" si="14">SUM(C13:C14)</f>
        <v>1023531.47465</v>
      </c>
      <c r="D12" s="734">
        <f t="shared" si="14"/>
        <v>3617026.1861029994</v>
      </c>
      <c r="E12" s="734">
        <f>SUM(E13:E14)</f>
        <v>2875795.1551399995</v>
      </c>
      <c r="F12" s="735">
        <f>SUM(B12:E12)</f>
        <v>59333647.603772052</v>
      </c>
      <c r="G12" s="736">
        <f>G13+G14</f>
        <v>538</v>
      </c>
      <c r="H12" s="701" t="s">
        <v>91</v>
      </c>
      <c r="I12" s="757">
        <f t="shared" si="9"/>
        <v>110285.59034158374</v>
      </c>
      <c r="J12" s="733" t="s">
        <v>273</v>
      </c>
      <c r="K12" s="738">
        <v>41582528.047615997</v>
      </c>
      <c r="L12" s="738">
        <v>967759.19653099985</v>
      </c>
      <c r="M12" s="738">
        <v>10071978.063174</v>
      </c>
      <c r="N12" s="738">
        <v>5024858.5288660005</v>
      </c>
      <c r="O12" s="739">
        <f t="shared" si="10"/>
        <v>57647123.836186998</v>
      </c>
      <c r="P12" s="740">
        <v>552</v>
      </c>
      <c r="Q12" s="740" t="s">
        <v>118</v>
      </c>
      <c r="R12" s="737">
        <f t="shared" si="11"/>
        <v>104433.19535541123</v>
      </c>
      <c r="S12" s="734">
        <f t="shared" si="5"/>
        <v>-1686523.767585054</v>
      </c>
      <c r="T12" s="734">
        <f t="shared" si="6"/>
        <v>14</v>
      </c>
      <c r="U12" s="734">
        <f t="shared" si="12"/>
        <v>-5852.3949861725123</v>
      </c>
      <c r="V12" s="741">
        <f t="shared" si="7"/>
        <v>-2.8424407325293712</v>
      </c>
      <c r="W12" s="741">
        <f t="shared" si="8"/>
        <v>2.6022304832713754</v>
      </c>
      <c r="X12" s="741">
        <f t="shared" si="13"/>
        <v>-5.306581728443482</v>
      </c>
    </row>
    <row r="13" spans="1:24" s="704" customFormat="1" ht="79.5" customHeight="1">
      <c r="A13" s="699" t="s">
        <v>276</v>
      </c>
      <c r="B13" s="340">
        <v>26240922.096631043</v>
      </c>
      <c r="C13" s="340">
        <v>689777.557119</v>
      </c>
      <c r="D13" s="340">
        <v>2199747.551949</v>
      </c>
      <c r="E13" s="340">
        <v>1412454.7027199999</v>
      </c>
      <c r="F13" s="700">
        <v>30542901.908419043</v>
      </c>
      <c r="G13" s="701">
        <v>164</v>
      </c>
      <c r="H13" s="701" t="s">
        <v>91</v>
      </c>
      <c r="I13" s="703">
        <f t="shared" si="9"/>
        <v>186237.2067586527</v>
      </c>
      <c r="J13" s="896" t="s">
        <v>260</v>
      </c>
      <c r="K13" s="897" t="s">
        <v>260</v>
      </c>
      <c r="L13" s="897" t="s">
        <v>260</v>
      </c>
      <c r="M13" s="897" t="s">
        <v>260</v>
      </c>
      <c r="N13" s="897" t="s">
        <v>260</v>
      </c>
      <c r="O13" s="341" t="s">
        <v>260</v>
      </c>
      <c r="P13" s="898" t="s">
        <v>260</v>
      </c>
      <c r="Q13" s="898" t="s">
        <v>260</v>
      </c>
      <c r="R13" s="341" t="s">
        <v>260</v>
      </c>
      <c r="S13" s="341" t="s">
        <v>260</v>
      </c>
      <c r="T13" s="341" t="s">
        <v>260</v>
      </c>
      <c r="U13" s="341" t="s">
        <v>260</v>
      </c>
      <c r="V13" s="341" t="s">
        <v>260</v>
      </c>
      <c r="W13" s="341" t="s">
        <v>260</v>
      </c>
      <c r="X13" s="341" t="s">
        <v>260</v>
      </c>
    </row>
    <row r="14" spans="1:24" s="704" customFormat="1" ht="78">
      <c r="A14" s="720" t="s">
        <v>277</v>
      </c>
      <c r="B14" s="721">
        <v>25576372.691248011</v>
      </c>
      <c r="C14" s="721">
        <v>333753.91753100004</v>
      </c>
      <c r="D14" s="721">
        <v>1417278.6341539996</v>
      </c>
      <c r="E14" s="721">
        <v>1463340.4524199995</v>
      </c>
      <c r="F14" s="722">
        <v>28790745.695353009</v>
      </c>
      <c r="G14" s="723">
        <v>374</v>
      </c>
      <c r="H14" s="723" t="s">
        <v>91</v>
      </c>
      <c r="I14" s="724">
        <f t="shared" si="9"/>
        <v>76980.603463510721</v>
      </c>
      <c r="J14" s="725" t="s">
        <v>260</v>
      </c>
      <c r="K14" s="726" t="s">
        <v>260</v>
      </c>
      <c r="L14" s="726" t="s">
        <v>260</v>
      </c>
      <c r="M14" s="726" t="s">
        <v>260</v>
      </c>
      <c r="N14" s="726" t="s">
        <v>260</v>
      </c>
      <c r="O14" s="727" t="s">
        <v>260</v>
      </c>
      <c r="P14" s="728" t="s">
        <v>260</v>
      </c>
      <c r="Q14" s="728" t="s">
        <v>260</v>
      </c>
      <c r="R14" s="727" t="s">
        <v>260</v>
      </c>
      <c r="S14" s="727" t="s">
        <v>260</v>
      </c>
      <c r="T14" s="727" t="s">
        <v>260</v>
      </c>
      <c r="U14" s="727" t="s">
        <v>260</v>
      </c>
      <c r="V14" s="727" t="s">
        <v>260</v>
      </c>
      <c r="W14" s="727" t="s">
        <v>260</v>
      </c>
      <c r="X14" s="727" t="s">
        <v>260</v>
      </c>
    </row>
    <row r="15" spans="1:24" s="704" customFormat="1" ht="78">
      <c r="A15" s="705" t="s">
        <v>274</v>
      </c>
      <c r="B15" s="706">
        <v>26867493.407030012</v>
      </c>
      <c r="C15" s="706">
        <v>509467.79625700001</v>
      </c>
      <c r="D15" s="706">
        <v>1476267.3259659996</v>
      </c>
      <c r="E15" s="706">
        <v>1266075.9534989996</v>
      </c>
      <c r="F15" s="707">
        <v>30119304.482752014</v>
      </c>
      <c r="G15" s="708">
        <v>628</v>
      </c>
      <c r="H15" s="708" t="s">
        <v>93</v>
      </c>
      <c r="I15" s="709">
        <f t="shared" si="9"/>
        <v>47960.675927949065</v>
      </c>
      <c r="J15" s="705" t="s">
        <v>274</v>
      </c>
      <c r="K15" s="714">
        <v>31945021.314093001</v>
      </c>
      <c r="L15" s="714">
        <v>1025239.862304</v>
      </c>
      <c r="M15" s="714">
        <v>8791994.9217450004</v>
      </c>
      <c r="N15" s="714">
        <v>2104057.4222790003</v>
      </c>
      <c r="O15" s="713">
        <f>SUM(K15:N15)</f>
        <v>43866313.520420998</v>
      </c>
      <c r="P15" s="712">
        <v>644</v>
      </c>
      <c r="Q15" s="712" t="s">
        <v>124</v>
      </c>
      <c r="R15" s="729">
        <f>O15/P15</f>
        <v>68115.393665249998</v>
      </c>
      <c r="S15" s="713">
        <f>O15-F15</f>
        <v>13747009.037668984</v>
      </c>
      <c r="T15" s="713">
        <f t="shared" ref="T15" si="15">P15-G15</f>
        <v>16</v>
      </c>
      <c r="U15" s="713">
        <f>R15-I15</f>
        <v>20154.717737300933</v>
      </c>
      <c r="V15" s="713">
        <f>S15*100/F15</f>
        <v>45.641854198662806</v>
      </c>
      <c r="W15" s="713">
        <f>T15*100/G15</f>
        <v>2.5477707006369426</v>
      </c>
      <c r="X15" s="713">
        <f>U15*100/I15</f>
        <v>42.023423038447582</v>
      </c>
    </row>
    <row r="16" spans="1:24" s="14" customFormat="1" ht="58.5">
      <c r="A16" s="360" t="s">
        <v>275</v>
      </c>
      <c r="B16" s="349">
        <v>21100583.891797002</v>
      </c>
      <c r="C16" s="349">
        <v>221795.605438</v>
      </c>
      <c r="D16" s="349">
        <v>844939.99320600019</v>
      </c>
      <c r="E16" s="349">
        <v>8474229.800764</v>
      </c>
      <c r="F16" s="367">
        <v>30641549.291205004</v>
      </c>
      <c r="G16" s="361">
        <v>3</v>
      </c>
      <c r="H16" s="361" t="s">
        <v>97</v>
      </c>
      <c r="I16" s="376">
        <f t="shared" si="9"/>
        <v>10213849.763735002</v>
      </c>
      <c r="J16" s="360" t="s">
        <v>275</v>
      </c>
      <c r="K16" s="377">
        <v>24579852.422592998</v>
      </c>
      <c r="L16" s="377">
        <v>1297504.7229529999</v>
      </c>
      <c r="M16" s="377">
        <v>3814268.3157479996</v>
      </c>
      <c r="N16" s="377">
        <v>13552366.204681</v>
      </c>
      <c r="O16" s="378">
        <f t="shared" ref="O16" si="16">SUM(K16:N16)</f>
        <v>43243991.665974997</v>
      </c>
      <c r="P16" s="362">
        <v>3</v>
      </c>
      <c r="Q16" s="362" t="s">
        <v>97</v>
      </c>
      <c r="R16" s="349">
        <f t="shared" ref="R16" si="17">O16/P16</f>
        <v>14414663.888658332</v>
      </c>
      <c r="S16" s="349">
        <f t="shared" ref="S16" si="18">O16-F16</f>
        <v>12602442.374769993</v>
      </c>
      <c r="T16" s="349">
        <f t="shared" ref="T16" si="19">P16-G16</f>
        <v>0</v>
      </c>
      <c r="U16" s="349">
        <f>R16-I16</f>
        <v>4200814.1249233298</v>
      </c>
      <c r="V16" s="348">
        <f t="shared" ref="V16" si="20">S16*100/F16</f>
        <v>41.128606961095315</v>
      </c>
      <c r="W16" s="348">
        <f t="shared" ref="W16" si="21">T16*100/G16</f>
        <v>0</v>
      </c>
      <c r="X16" s="348">
        <f>U16*100/I16</f>
        <v>41.128606961095301</v>
      </c>
    </row>
    <row r="17" spans="1:24" s="14" customFormat="1" ht="20.25" customHeight="1">
      <c r="A17" s="363" t="s">
        <v>150</v>
      </c>
      <c r="B17" s="368">
        <f>SUM(B5+B6+B9+B10+B11+B12+B15+B16)</f>
        <v>283703559.88000011</v>
      </c>
      <c r="C17" s="368">
        <f>SUM(C5+C6+C9+C10+C11+C12+C15+C16)</f>
        <v>11607857.539999997</v>
      </c>
      <c r="D17" s="368">
        <f>SUM(D5+D6+D9+D10+D11+D12+D15+D16)</f>
        <v>24049180.329999998</v>
      </c>
      <c r="E17" s="368">
        <f>SUM(E5+E6+E9+E10+E11+E12+E15+E16)</f>
        <v>28706277.799999997</v>
      </c>
      <c r="F17" s="369">
        <f>SUM(F5+F6+F9+F10+F11+F12+F15+F16)</f>
        <v>348066875.55000013</v>
      </c>
      <c r="G17" s="364"/>
      <c r="H17" s="364"/>
      <c r="I17" s="379"/>
      <c r="J17" s="379"/>
      <c r="K17" s="368">
        <f>SUM(K5:K16)</f>
        <v>286416929.21000004</v>
      </c>
      <c r="L17" s="368">
        <f>SUM(L5:L16)</f>
        <v>9305921.2799999993</v>
      </c>
      <c r="M17" s="368">
        <f>SUM(M5:M16)</f>
        <v>73947124.950000018</v>
      </c>
      <c r="N17" s="368">
        <f>SUM(N5:N16)</f>
        <v>37010311.670000002</v>
      </c>
      <c r="O17" s="368">
        <f>SUM(O5:O16)</f>
        <v>406680287.11000001</v>
      </c>
      <c r="P17" s="364"/>
      <c r="Q17" s="364"/>
      <c r="R17" s="379"/>
      <c r="S17" s="352"/>
      <c r="T17" s="352"/>
      <c r="U17" s="352"/>
      <c r="V17" s="352"/>
      <c r="W17" s="352"/>
      <c r="X17" s="352"/>
    </row>
    <row r="18" spans="1:24">
      <c r="O18" s="485">
        <f>+O17-ตารางที่1!G33</f>
        <v>0</v>
      </c>
    </row>
    <row r="29" spans="1:24">
      <c r="K29" s="199"/>
    </row>
  </sheetData>
  <mergeCells count="8">
    <mergeCell ref="A1:X1"/>
    <mergeCell ref="W2:X2"/>
    <mergeCell ref="A3:A4"/>
    <mergeCell ref="B3:I3"/>
    <mergeCell ref="K3:R3"/>
    <mergeCell ref="S3:U3"/>
    <mergeCell ref="V3:X3"/>
    <mergeCell ref="J3:J4"/>
  </mergeCells>
  <printOptions horizontalCentered="1"/>
  <pageMargins left="0.56000000000000005" right="0.39370078740157483" top="0.55118110236220474" bottom="0.35433070866141736" header="0.31496062992125984" footer="0.31496062992125984"/>
  <pageSetup paperSize="9" scale="65" fitToHeight="10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22"/>
  <sheetViews>
    <sheetView topLeftCell="G7" zoomScaleNormal="100" workbookViewId="0">
      <selection activeCell="U14" sqref="U14"/>
    </sheetView>
  </sheetViews>
  <sheetFormatPr defaultRowHeight="24"/>
  <cols>
    <col min="1" max="1" width="19.5" style="99" customWidth="1"/>
    <col min="2" max="2" width="11" style="99" bestFit="1" customWidth="1"/>
    <col min="3" max="5" width="10.25" style="99" bestFit="1" customWidth="1"/>
    <col min="6" max="6" width="11" style="99" bestFit="1" customWidth="1"/>
    <col min="7" max="8" width="5.375" style="309" customWidth="1"/>
    <col min="9" max="9" width="9.5" style="99" bestFit="1" customWidth="1"/>
    <col min="10" max="10" width="11" style="99" bestFit="1" customWidth="1"/>
    <col min="11" max="11" width="9.5" style="99" bestFit="1" customWidth="1"/>
    <col min="12" max="13" width="10.25" style="99" bestFit="1" customWidth="1"/>
    <col min="14" max="14" width="11" style="99" bestFit="1" customWidth="1"/>
    <col min="15" max="16" width="5.375" style="99" customWidth="1"/>
    <col min="17" max="17" width="10.5" style="99" bestFit="1" customWidth="1"/>
    <col min="18" max="18" width="10.625" style="99" bestFit="1" customWidth="1"/>
    <col min="19" max="19" width="6.25" style="99" customWidth="1"/>
    <col min="20" max="20" width="10.25" style="99" bestFit="1" customWidth="1"/>
    <col min="21" max="21" width="12.375" style="99" bestFit="1" customWidth="1"/>
    <col min="22" max="22" width="6.25" style="99" bestFit="1" customWidth="1"/>
    <col min="23" max="23" width="5.75" style="99" bestFit="1" customWidth="1"/>
    <col min="24" max="24" width="9" style="311"/>
    <col min="25" max="16384" width="9" style="99"/>
  </cols>
  <sheetData>
    <row r="1" spans="1:24" s="306" customFormat="1">
      <c r="A1" s="833" t="s">
        <v>220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  <c r="P1" s="833"/>
      <c r="Q1" s="833"/>
      <c r="R1" s="833"/>
      <c r="S1" s="833"/>
      <c r="T1" s="833"/>
      <c r="U1" s="833"/>
      <c r="V1" s="833"/>
      <c r="W1" s="833"/>
      <c r="X1" s="305"/>
    </row>
    <row r="2" spans="1:24" s="306" customFormat="1" ht="24.75" customHeight="1">
      <c r="A2" s="307" t="s">
        <v>201</v>
      </c>
      <c r="B2" s="307"/>
      <c r="C2" s="307"/>
      <c r="D2" s="307"/>
      <c r="E2" s="307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S2" s="834" t="s">
        <v>138</v>
      </c>
      <c r="T2" s="834"/>
      <c r="U2" s="835" t="s">
        <v>111</v>
      </c>
      <c r="V2" s="835"/>
      <c r="W2" s="835"/>
      <c r="X2" s="305"/>
    </row>
    <row r="3" spans="1:24" s="313" customFormat="1" ht="18" customHeight="1">
      <c r="A3" s="836" t="s">
        <v>105</v>
      </c>
      <c r="B3" s="838" t="s">
        <v>144</v>
      </c>
      <c r="C3" s="838"/>
      <c r="D3" s="838"/>
      <c r="E3" s="838"/>
      <c r="F3" s="838"/>
      <c r="G3" s="838"/>
      <c r="H3" s="838"/>
      <c r="I3" s="838"/>
      <c r="J3" s="838" t="s">
        <v>221</v>
      </c>
      <c r="K3" s="838"/>
      <c r="L3" s="838"/>
      <c r="M3" s="838"/>
      <c r="N3" s="838"/>
      <c r="O3" s="838"/>
      <c r="P3" s="838"/>
      <c r="Q3" s="838"/>
      <c r="R3" s="839" t="s">
        <v>112</v>
      </c>
      <c r="S3" s="838"/>
      <c r="T3" s="840"/>
      <c r="U3" s="841" t="s">
        <v>203</v>
      </c>
      <c r="V3" s="842"/>
      <c r="W3" s="843"/>
      <c r="X3" s="312"/>
    </row>
    <row r="4" spans="1:24" s="319" customFormat="1" ht="72.75" customHeight="1">
      <c r="A4" s="837"/>
      <c r="B4" s="314" t="s">
        <v>113</v>
      </c>
      <c r="C4" s="314"/>
      <c r="D4" s="316" t="s">
        <v>1</v>
      </c>
      <c r="E4" s="314" t="s">
        <v>84</v>
      </c>
      <c r="F4" s="316" t="s">
        <v>87</v>
      </c>
      <c r="G4" s="113" t="s">
        <v>88</v>
      </c>
      <c r="H4" s="316" t="s">
        <v>89</v>
      </c>
      <c r="I4" s="314" t="s">
        <v>90</v>
      </c>
      <c r="J4" s="314" t="s">
        <v>113</v>
      </c>
      <c r="K4" s="315" t="s">
        <v>139</v>
      </c>
      <c r="L4" s="316" t="s">
        <v>1</v>
      </c>
      <c r="M4" s="314" t="s">
        <v>84</v>
      </c>
      <c r="N4" s="316" t="s">
        <v>87</v>
      </c>
      <c r="O4" s="316" t="s">
        <v>88</v>
      </c>
      <c r="P4" s="113" t="s">
        <v>89</v>
      </c>
      <c r="Q4" s="314" t="s">
        <v>90</v>
      </c>
      <c r="R4" s="317" t="s">
        <v>140</v>
      </c>
      <c r="S4" s="314" t="s">
        <v>141</v>
      </c>
      <c r="T4" s="315" t="s">
        <v>142</v>
      </c>
      <c r="U4" s="486" t="s">
        <v>206</v>
      </c>
      <c r="V4" s="486" t="s">
        <v>205</v>
      </c>
      <c r="W4" s="486" t="s">
        <v>204</v>
      </c>
      <c r="X4" s="318"/>
    </row>
    <row r="5" spans="1:24" s="324" customFormat="1" ht="27" customHeight="1">
      <c r="A5" s="320" t="s">
        <v>106</v>
      </c>
      <c r="B5" s="557">
        <v>141268760.33000001</v>
      </c>
      <c r="C5" s="557">
        <v>7413491.6699999999</v>
      </c>
      <c r="D5" s="557">
        <v>14645022.470000001</v>
      </c>
      <c r="E5" s="557">
        <v>11075404.65</v>
      </c>
      <c r="F5" s="558">
        <v>174402679.12</v>
      </c>
      <c r="G5" s="559">
        <v>1054</v>
      </c>
      <c r="H5" s="559" t="s">
        <v>93</v>
      </c>
      <c r="I5" s="560">
        <f>F5/G5</f>
        <v>165467.43749525616</v>
      </c>
      <c r="J5" s="557">
        <v>114519118.92899995</v>
      </c>
      <c r="K5" s="557">
        <v>3319124.8455000003</v>
      </c>
      <c r="L5" s="557">
        <v>38297527.769000024</v>
      </c>
      <c r="M5" s="557">
        <v>4694811.5385000007</v>
      </c>
      <c r="N5" s="558">
        <f>SUM(J5:M5)</f>
        <v>160830583.08199999</v>
      </c>
      <c r="O5" s="559">
        <v>767</v>
      </c>
      <c r="P5" s="559" t="s">
        <v>93</v>
      </c>
      <c r="Q5" s="338">
        <f>N5/O5</f>
        <v>209687.85277966101</v>
      </c>
      <c r="R5" s="336">
        <f t="shared" ref="R5:S5" si="0">N5-F5</f>
        <v>-13572096.038000017</v>
      </c>
      <c r="S5" s="339">
        <f t="shared" si="0"/>
        <v>-287</v>
      </c>
      <c r="T5" s="336">
        <f>Q5-I5</f>
        <v>44220.415284404851</v>
      </c>
      <c r="U5" s="336">
        <f>R5*100/F5</f>
        <v>-7.782045612190144</v>
      </c>
      <c r="V5" s="337">
        <f>S5*100/G5</f>
        <v>-27.229601518026566</v>
      </c>
      <c r="W5" s="336">
        <f>T5*100/I5</f>
        <v>26.724542274773921</v>
      </c>
      <c r="X5" s="323"/>
    </row>
    <row r="6" spans="1:24" s="328" customFormat="1" ht="27" customHeight="1">
      <c r="A6" s="325" t="s">
        <v>107</v>
      </c>
      <c r="B6" s="561">
        <v>72820170.079999998</v>
      </c>
      <c r="C6" s="561">
        <v>3101780.4862449998</v>
      </c>
      <c r="D6" s="561">
        <v>5141124.2654449996</v>
      </c>
      <c r="E6" s="561">
        <v>5104712.45</v>
      </c>
      <c r="F6" s="562">
        <v>86167787.281690001</v>
      </c>
      <c r="G6" s="563">
        <v>32</v>
      </c>
      <c r="H6" s="563" t="s">
        <v>91</v>
      </c>
      <c r="I6" s="564">
        <f>F6/G6</f>
        <v>2692743.3525528125</v>
      </c>
      <c r="J6" s="561">
        <v>103857220.78000005</v>
      </c>
      <c r="K6" s="561">
        <v>4021500.1189999986</v>
      </c>
      <c r="L6" s="561">
        <v>20632219.591000021</v>
      </c>
      <c r="M6" s="561">
        <v>5839406.5649999958</v>
      </c>
      <c r="N6" s="562">
        <f t="shared" ref="N6" si="1">SUM(J6:M6)</f>
        <v>134350347.05500007</v>
      </c>
      <c r="O6" s="563">
        <v>41</v>
      </c>
      <c r="P6" s="563" t="s">
        <v>91</v>
      </c>
      <c r="Q6" s="342">
        <f t="shared" ref="Q6:Q10" si="2">N6/O6</f>
        <v>3276837.7330487822</v>
      </c>
      <c r="R6" s="340">
        <f t="shared" ref="R6:R8" si="3">N6-F6</f>
        <v>48182559.773310065</v>
      </c>
      <c r="S6" s="343">
        <f t="shared" ref="S6:S8" si="4">O6-G6</f>
        <v>9</v>
      </c>
      <c r="T6" s="340">
        <f t="shared" ref="T6:T8" si="5">Q6-I6</f>
        <v>584094.38049596967</v>
      </c>
      <c r="U6" s="340">
        <f t="shared" ref="U6:U8" si="6">R6*100/F6</f>
        <v>55.917137126658581</v>
      </c>
      <c r="V6" s="341">
        <f>S6*100/G6</f>
        <v>28.125</v>
      </c>
      <c r="W6" s="340">
        <f>T6*100/I6</f>
        <v>21.691424098855475</v>
      </c>
      <c r="X6" s="327"/>
    </row>
    <row r="7" spans="1:24" s="332" customFormat="1" ht="78">
      <c r="A7" s="329" t="s">
        <v>281</v>
      </c>
      <c r="B7" s="565">
        <v>34309255.509999998</v>
      </c>
      <c r="C7" s="565">
        <v>615898.35235662502</v>
      </c>
      <c r="D7" s="565">
        <v>2416735.7691027755</v>
      </c>
      <c r="E7" s="565">
        <v>2862502.1</v>
      </c>
      <c r="F7" s="566">
        <v>40204391.731459402</v>
      </c>
      <c r="G7" s="563">
        <v>646</v>
      </c>
      <c r="H7" s="563" t="s">
        <v>93</v>
      </c>
      <c r="I7" s="567">
        <f>F7/G7</f>
        <v>62235.900513095046</v>
      </c>
      <c r="J7" s="565">
        <v>23175635.578999996</v>
      </c>
      <c r="K7" s="565">
        <v>496977.84010000003</v>
      </c>
      <c r="L7" s="565">
        <v>6214847.7485999996</v>
      </c>
      <c r="M7" s="565">
        <v>582164.70590000006</v>
      </c>
      <c r="N7" s="566">
        <f>SUM(J7:M7)</f>
        <v>30469625.873599995</v>
      </c>
      <c r="O7" s="563">
        <v>161</v>
      </c>
      <c r="P7" s="563" t="s">
        <v>93</v>
      </c>
      <c r="Q7" s="346">
        <f t="shared" si="2"/>
        <v>189252.3346186335</v>
      </c>
      <c r="R7" s="345">
        <f t="shared" si="3"/>
        <v>-9734765.8578594066</v>
      </c>
      <c r="S7" s="347">
        <f>O7-G7</f>
        <v>-485</v>
      </c>
      <c r="T7" s="345">
        <f t="shared" si="5"/>
        <v>127016.43410553844</v>
      </c>
      <c r="U7" s="341">
        <f>R7*100/F7</f>
        <v>-24.213190247676554</v>
      </c>
      <c r="V7" s="341">
        <f>S7*100/G7</f>
        <v>-75.077399380804948</v>
      </c>
      <c r="W7" s="341">
        <f>T7*100/I7</f>
        <v>204.08869006211768</v>
      </c>
      <c r="X7" s="331"/>
    </row>
    <row r="8" spans="1:24" s="332" customFormat="1" ht="78">
      <c r="A8" s="329" t="s">
        <v>282</v>
      </c>
      <c r="B8" s="568">
        <v>14204790.08</v>
      </c>
      <c r="C8" s="568">
        <v>254891.42223558752</v>
      </c>
      <c r="D8" s="568">
        <v>1001357.8313315627</v>
      </c>
      <c r="E8" s="568">
        <v>1189428.79</v>
      </c>
      <c r="F8" s="566">
        <v>16650468.123567149</v>
      </c>
      <c r="G8" s="563">
        <v>30</v>
      </c>
      <c r="H8" s="563" t="s">
        <v>93</v>
      </c>
      <c r="I8" s="567">
        <f>F8/G8</f>
        <v>555015.60411890491</v>
      </c>
      <c r="J8" s="568">
        <v>7134408.9209999992</v>
      </c>
      <c r="K8" s="568">
        <v>157006.28220000002</v>
      </c>
      <c r="L8" s="568">
        <v>2572338.2412</v>
      </c>
      <c r="M8" s="568">
        <v>209050.6128</v>
      </c>
      <c r="N8" s="566">
        <f>SUM(J8:M8)</f>
        <v>10072804.0572</v>
      </c>
      <c r="O8" s="563">
        <v>50</v>
      </c>
      <c r="P8" s="563" t="s">
        <v>93</v>
      </c>
      <c r="Q8" s="346">
        <f>N8/O8</f>
        <v>201456.081144</v>
      </c>
      <c r="R8" s="345">
        <f t="shared" si="3"/>
        <v>-6577664.0663671494</v>
      </c>
      <c r="S8" s="347">
        <f t="shared" si="4"/>
        <v>20</v>
      </c>
      <c r="T8" s="345">
        <f t="shared" si="5"/>
        <v>-353559.52297490492</v>
      </c>
      <c r="U8" s="341">
        <f t="shared" si="6"/>
        <v>-39.504379201549852</v>
      </c>
      <c r="V8" s="341">
        <f t="shared" ref="V8:V10" si="7">S8*100/G8</f>
        <v>66.666666666666671</v>
      </c>
      <c r="W8" s="341">
        <f>T8*100/I8</f>
        <v>-63.702627520929909</v>
      </c>
      <c r="X8" s="331"/>
    </row>
    <row r="9" spans="1:24" s="332" customFormat="1" ht="78">
      <c r="A9" s="329" t="s">
        <v>239</v>
      </c>
      <c r="B9" s="748" t="s">
        <v>260</v>
      </c>
      <c r="C9" s="748" t="s">
        <v>260</v>
      </c>
      <c r="D9" s="748" t="s">
        <v>260</v>
      </c>
      <c r="E9" s="748" t="s">
        <v>260</v>
      </c>
      <c r="F9" s="748" t="s">
        <v>260</v>
      </c>
      <c r="G9" s="748" t="s">
        <v>260</v>
      </c>
      <c r="H9" s="751">
        <v>0</v>
      </c>
      <c r="I9" s="567">
        <v>0</v>
      </c>
      <c r="J9" s="568">
        <v>7134408.9210000001</v>
      </c>
      <c r="K9" s="568">
        <v>157006.28220000002</v>
      </c>
      <c r="L9" s="568">
        <v>2572338.2412</v>
      </c>
      <c r="M9" s="568">
        <v>209050.6128</v>
      </c>
      <c r="N9" s="566">
        <f>SUM(J9:M9)</f>
        <v>10072804.057200002</v>
      </c>
      <c r="O9" s="563">
        <v>19</v>
      </c>
      <c r="P9" s="563" t="s">
        <v>93</v>
      </c>
      <c r="Q9" s="346">
        <f t="shared" si="2"/>
        <v>530147.58195789484</v>
      </c>
      <c r="R9" s="750">
        <f>N9-I9</f>
        <v>10072804.057200002</v>
      </c>
      <c r="S9" s="749" t="s">
        <v>284</v>
      </c>
      <c r="T9" s="345">
        <f>Q9-I9</f>
        <v>530147.58195789484</v>
      </c>
      <c r="U9" s="752">
        <f>R9*100</f>
        <v>1007280405.7200001</v>
      </c>
      <c r="V9" s="716" t="s">
        <v>285</v>
      </c>
      <c r="W9" s="341">
        <v>100</v>
      </c>
      <c r="X9" s="331"/>
    </row>
    <row r="10" spans="1:24" s="332" customFormat="1" ht="58.5">
      <c r="A10" s="329" t="s">
        <v>283</v>
      </c>
      <c r="B10" s="569">
        <v>21100583.890000001</v>
      </c>
      <c r="C10" s="569">
        <v>221795.605438</v>
      </c>
      <c r="D10" s="569">
        <v>844939.99320600019</v>
      </c>
      <c r="E10" s="569">
        <v>8474229.8000000007</v>
      </c>
      <c r="F10" s="566">
        <v>30641549.288644005</v>
      </c>
      <c r="G10" s="563">
        <v>3</v>
      </c>
      <c r="H10" s="563" t="s">
        <v>97</v>
      </c>
      <c r="I10" s="567">
        <f>F10/G10</f>
        <v>10213849.762881335</v>
      </c>
      <c r="J10" s="569">
        <v>30596136.080000002</v>
      </c>
      <c r="K10" s="569">
        <v>1154305.9109999998</v>
      </c>
      <c r="L10" s="569">
        <v>3657853.3589999997</v>
      </c>
      <c r="M10" s="569">
        <v>25475827.635000002</v>
      </c>
      <c r="N10" s="566">
        <f>SUM(J10:M10)</f>
        <v>60884122.984999999</v>
      </c>
      <c r="O10" s="563">
        <v>3</v>
      </c>
      <c r="P10" s="563" t="s">
        <v>97</v>
      </c>
      <c r="Q10" s="346">
        <f t="shared" si="2"/>
        <v>20294707.661666665</v>
      </c>
      <c r="R10" s="345">
        <f>N10-F10</f>
        <v>30242573.696355995</v>
      </c>
      <c r="S10" s="347">
        <f>O10-G10</f>
        <v>0</v>
      </c>
      <c r="T10" s="345">
        <f>Q10-I10</f>
        <v>10080857.89878533</v>
      </c>
      <c r="U10" s="341">
        <f>R10*100/F10</f>
        <v>98.69792617687294</v>
      </c>
      <c r="V10" s="341">
        <f t="shared" si="7"/>
        <v>0</v>
      </c>
      <c r="W10" s="341">
        <f>T10*100/I10</f>
        <v>98.697926176872926</v>
      </c>
      <c r="X10" s="331"/>
    </row>
    <row r="11" spans="1:24" s="335" customFormat="1" ht="24" customHeight="1">
      <c r="A11" s="333" t="s">
        <v>19</v>
      </c>
      <c r="B11" s="570">
        <f>SUM(B5:B10)</f>
        <v>283703559.89000005</v>
      </c>
      <c r="C11" s="570">
        <f t="shared" ref="C11:D11" si="8">SUM(C5:C10)</f>
        <v>11607857.536275214</v>
      </c>
      <c r="D11" s="570">
        <f t="shared" si="8"/>
        <v>24049180.329085339</v>
      </c>
      <c r="E11" s="570">
        <f>SUM(E5:E10)</f>
        <v>28706277.790000003</v>
      </c>
      <c r="F11" s="570">
        <f>SUM(F5:F10)</f>
        <v>348066875.54536057</v>
      </c>
      <c r="G11" s="571"/>
      <c r="H11" s="571"/>
      <c r="I11" s="570"/>
      <c r="J11" s="570">
        <f>SUM(J5:J10)</f>
        <v>286416929.20999998</v>
      </c>
      <c r="K11" s="570">
        <f>SUM(K5:K10)</f>
        <v>9305921.2799999993</v>
      </c>
      <c r="L11" s="570">
        <f>SUM(L5:L10)</f>
        <v>73947124.950000048</v>
      </c>
      <c r="M11" s="570">
        <f>SUM(M5:M10)</f>
        <v>37010311.670000002</v>
      </c>
      <c r="N11" s="570">
        <f>SUM(N5:N10)</f>
        <v>406680287.11000013</v>
      </c>
      <c r="O11" s="571"/>
      <c r="P11" s="571"/>
      <c r="Q11" s="350"/>
      <c r="R11" s="353"/>
      <c r="S11" s="351"/>
      <c r="T11" s="351"/>
      <c r="U11" s="351"/>
      <c r="V11" s="351"/>
      <c r="W11" s="350"/>
      <c r="X11" s="334"/>
    </row>
    <row r="12" spans="1:24">
      <c r="N12" s="556">
        <f>+N11-ตารางที่1!G33</f>
        <v>0</v>
      </c>
    </row>
    <row r="22" spans="10:10">
      <c r="J22" s="310"/>
    </row>
  </sheetData>
  <mergeCells count="8">
    <mergeCell ref="A1:W1"/>
    <mergeCell ref="S2:T2"/>
    <mergeCell ref="U2:W2"/>
    <mergeCell ref="A3:A4"/>
    <mergeCell ref="B3:I3"/>
    <mergeCell ref="J3:Q3"/>
    <mergeCell ref="R3:T3"/>
    <mergeCell ref="U3:W3"/>
  </mergeCells>
  <printOptions horizontalCentered="1"/>
  <pageMargins left="0.70866141732283472" right="0.39370078740157483" top="0.55118110236220474" bottom="0.35433070866141736" header="0.31496062992125984" footer="0.31496062992125984"/>
  <pageSetup paperSize="9" scale="58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14</vt:i4>
      </vt:variant>
    </vt:vector>
  </HeadingPairs>
  <TitlesOfParts>
    <vt:vector size="29" baseType="lpstr">
      <vt:lpstr>ตารางที่1</vt:lpstr>
      <vt:lpstr>ตารางที่2</vt:lpstr>
      <vt:lpstr>ตารางที่3</vt:lpstr>
      <vt:lpstr>ตารางที่4</vt:lpstr>
      <vt:lpstr>ตารางที่5</vt:lpstr>
      <vt:lpstr>ตารางที่6</vt:lpstr>
      <vt:lpstr>ตารางที่7</vt:lpstr>
      <vt:lpstr>ตารางที่8</vt:lpstr>
      <vt:lpstr>ตารางที่9</vt:lpstr>
      <vt:lpstr>ตารางที่ 10</vt:lpstr>
      <vt:lpstr>ตารางที่ 11</vt:lpstr>
      <vt:lpstr>ตารางที่ 12</vt:lpstr>
      <vt:lpstr>สรุป1</vt:lpstr>
      <vt:lpstr>สรุป2</vt:lpstr>
      <vt:lpstr>สรุป3</vt:lpstr>
      <vt:lpstr>'ตารางที่ 10'!Print_Area</vt:lpstr>
      <vt:lpstr>'ตารางที่ 11'!Print_Area</vt:lpstr>
      <vt:lpstr>'ตารางที่ 12'!Print_Area</vt:lpstr>
      <vt:lpstr>ตารางที่1!Print_Area</vt:lpstr>
      <vt:lpstr>ตารางที่2!Print_Area</vt:lpstr>
      <vt:lpstr>ตารางที่3!Print_Area</vt:lpstr>
      <vt:lpstr>ตารางที่4!Print_Area</vt:lpstr>
      <vt:lpstr>ตารางที่5!Print_Area</vt:lpstr>
      <vt:lpstr>ตารางที่6!Print_Area</vt:lpstr>
      <vt:lpstr>ตารางที่7!Print_Area</vt:lpstr>
      <vt:lpstr>ตารางที่9!Print_Area</vt:lpstr>
      <vt:lpstr>ตารางที่3!Print_Titles</vt:lpstr>
      <vt:lpstr>ตารางที่7!Print_Titles</vt:lpstr>
      <vt:lpstr>ตารางที่8!Print_Titles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2017-02-28T01:17:48Z</cp:lastPrinted>
  <dcterms:created xsi:type="dcterms:W3CDTF">2016-02-22T04:35:34Z</dcterms:created>
  <dcterms:modified xsi:type="dcterms:W3CDTF">2017-02-28T01:30:53Z</dcterms:modified>
</cp:coreProperties>
</file>